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<sst xmlns="http://schemas.openxmlformats.org/spreadsheetml/2006/main" count="293" uniqueCount="90">
  <si>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</si>
  <si>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</si>
  <si>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</si>
  <si>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</si>
  <si>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</si>
  <si>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</si>
  <si>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</si>
  <si>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</si>
  <si>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</si>
  <si>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</si>
  <si>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</si>
  <si>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</si>
  <si>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</si>
  <si>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</si>
  <si>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</si>
  <si>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</si>
  <si>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</si>
  <si>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</si>
  <si>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</si>
  <si>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</si>
  <si>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</si>
  <si>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</si>
  <si>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</si>
  <si>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</si>
  <si>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</si>
  <si>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</si>
  <si>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</si>
  <si>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</si>
  <si>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</si>
  <si>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</si>
  <si>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</si>
  <si>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</si>
  <si>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</si>
  <si>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</si>
  <si>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</si>
  <si>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</si>
  <si>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</si>
  <si>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</si>
  <si>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</si>
  <si>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</si>
  <si>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</si>
  <si>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</si>
  <si>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</si>
  <si>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</si>
  <si>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</si>
  <si>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</si>
  <si>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</si>
  <si>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</si>
  <si>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</si>
  <si>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</si>
  <si>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</si>
  <si>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</si>
  <si>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</si>
  <si>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</si>
  <si>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</si>
  <si>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</si>
  <si>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</si>
  <si>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</si>
  <si>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</si>
  <si>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</si>
  <si>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</si>
  <si>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</si>
  <si>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</si>
  <si>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</si>
  <si>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</si>
  <si>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</si>
  <si>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</si>
  <si>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</si>
  <si>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</si>
  <si>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</si>
  <si>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</si>
  <si>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</si>
  <si>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</si>
  <si>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</si>
  <si>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</si>
  <si>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</si>
  <si>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</si>
  <si>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</si>
  <si>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SV Grün Weiß Vernum 1949 e.V.</t>
  </si>
  <si>
    <t>Gerhard-Waerdt Sportanlage, Vernumer Str. 157, 47608 Geldern/Vernum</t>
  </si>
  <si>
    <t>22. GWV Jugendturnier 2017</t>
  </si>
  <si>
    <t>E1 - Junioren</t>
  </si>
  <si>
    <t>MVC´19 Team 1</t>
  </si>
  <si>
    <t>TSV Nieukerk 1</t>
  </si>
  <si>
    <t>RW Geldern 1</t>
  </si>
  <si>
    <t>PSV Wesel-Lackhausen 1</t>
  </si>
  <si>
    <t>SV Straelen 1</t>
  </si>
  <si>
    <t>VfB Homberg 1</t>
  </si>
  <si>
    <t>GSV Geldern 1</t>
  </si>
  <si>
    <t>SV Walbeck 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</si>
</sst>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0</xdr:row>
      <xdr:rowOff>0</xdr:rowOff>
    </xdr:from>
    <xdr:to>
      <xdr:col>61</xdr:col>
      <xdr:colOff>28575</xdr:colOff>
      <xdr:row>9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781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80">
      <selection activeCell="BE93" sqref="BE93:BH9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80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81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42882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0.5833333333333334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10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3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0.6986111111111108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10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3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82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85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86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83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87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84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89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88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0.5833333333333334</v>
      </c>
      <c r="I27" s="402"/>
      <c r="J27" s="402"/>
      <c r="K27" s="403"/>
      <c r="L27" s="316" t="str">
        <f>$D$19</f>
        <v>MVC´19 Team 1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SV Straelen 1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>
        <v>1</v>
      </c>
      <c r="BD27" s="308"/>
      <c r="BE27" s="308"/>
      <c r="BF27" s="310">
        <v>1</v>
      </c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0.5923611111111111</v>
      </c>
      <c r="I28" s="330"/>
      <c r="J28" s="330"/>
      <c r="K28" s="331"/>
      <c r="L28" s="332" t="str">
        <f>$D$21</f>
        <v>VfB Homberg 1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SV Walbeck 1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>
        <v>2</v>
      </c>
      <c r="BD28" s="226"/>
      <c r="BE28" s="226"/>
      <c r="BF28" s="223">
        <v>0</v>
      </c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0.6013888888888889</v>
      </c>
      <c r="I29" s="343"/>
      <c r="J29" s="343"/>
      <c r="K29" s="344"/>
      <c r="L29" s="290" t="str">
        <f>$AC$19</f>
        <v>PSV Wesel-Lackhausen 1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TSV Nieukerk 1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>
        <v>1</v>
      </c>
      <c r="BD29" s="228"/>
      <c r="BE29" s="228"/>
      <c r="BF29" s="309">
        <v>0</v>
      </c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0.6104166666666666</v>
      </c>
      <c r="I30" s="330"/>
      <c r="J30" s="330"/>
      <c r="K30" s="331"/>
      <c r="L30" s="332" t="str">
        <f>$AC$21</f>
        <v>RW Geldern 1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GSV Geldern 1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>
        <v>3</v>
      </c>
      <c r="BD30" s="226"/>
      <c r="BE30" s="226"/>
      <c r="BF30" s="223">
        <v>0</v>
      </c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0.6194444444444444</v>
      </c>
      <c r="I31" s="343"/>
      <c r="J31" s="343"/>
      <c r="K31" s="344"/>
      <c r="L31" s="290" t="str">
        <f>$D$19</f>
        <v>MVC´19 Team 1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VfB Homberg 1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>
        <v>1</v>
      </c>
      <c r="BD31" s="228"/>
      <c r="BE31" s="228"/>
      <c r="BF31" s="309">
        <v>0</v>
      </c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0.6284722222222221</v>
      </c>
      <c r="I32" s="330"/>
      <c r="J32" s="330"/>
      <c r="K32" s="331"/>
      <c r="L32" s="332" t="str">
        <f>$D$20</f>
        <v>SV Straelen 1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SV Walbeck 1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>
        <v>1</v>
      </c>
      <c r="BD32" s="226"/>
      <c r="BE32" s="226"/>
      <c r="BF32" s="223">
        <v>1</v>
      </c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0.6374999999999998</v>
      </c>
      <c r="I33" s="343"/>
      <c r="J33" s="343"/>
      <c r="K33" s="344"/>
      <c r="L33" s="290" t="str">
        <f>$AC$19</f>
        <v>PSV Wesel-Lackhausen 1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RW Geldern 1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>
        <v>0</v>
      </c>
      <c r="BD33" s="228"/>
      <c r="BE33" s="228"/>
      <c r="BF33" s="309">
        <v>0</v>
      </c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0.6465277777777776</v>
      </c>
      <c r="I34" s="330"/>
      <c r="J34" s="330"/>
      <c r="K34" s="331"/>
      <c r="L34" s="332" t="str">
        <f>$AC$20</f>
        <v>TSV Nieukerk 1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GSV Geldern 1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>
        <v>3</v>
      </c>
      <c r="BD34" s="226"/>
      <c r="BE34" s="226"/>
      <c r="BF34" s="223">
        <v>0</v>
      </c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0.6555555555555553</v>
      </c>
      <c r="I35" s="343"/>
      <c r="J35" s="343"/>
      <c r="K35" s="344"/>
      <c r="L35" s="290" t="str">
        <f>$D$22</f>
        <v>SV Walbeck 1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MVC´19 Team 1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>
        <v>0</v>
      </c>
      <c r="BD35" s="228"/>
      <c r="BE35" s="228"/>
      <c r="BF35" s="309">
        <v>0</v>
      </c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0.6645833333333331</v>
      </c>
      <c r="I36" s="330"/>
      <c r="J36" s="330"/>
      <c r="K36" s="331"/>
      <c r="L36" s="332" t="str">
        <f>$D$21</f>
        <v>VfB Homberg 1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SV Straelen 1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>
        <v>2</v>
      </c>
      <c r="BD36" s="226"/>
      <c r="BE36" s="226"/>
      <c r="BF36" s="223">
        <v>0</v>
      </c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0.6736111111111108</v>
      </c>
      <c r="I37" s="343"/>
      <c r="J37" s="343"/>
      <c r="K37" s="344"/>
      <c r="L37" s="290" t="str">
        <f>$AC$22</f>
        <v>GSV Geldern 1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PSV Wesel-Lackhausen 1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>
        <v>0</v>
      </c>
      <c r="BD37" s="228"/>
      <c r="BE37" s="228"/>
      <c r="BF37" s="309">
        <v>2</v>
      </c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0.6826388888888886</v>
      </c>
      <c r="I38" s="330"/>
      <c r="J38" s="330"/>
      <c r="K38" s="331"/>
      <c r="L38" s="332" t="str">
        <f>$AC$21</f>
        <v>RW Geldern 1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TSV Nieukerk 1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>
        <v>0</v>
      </c>
      <c r="BD38" s="226"/>
      <c r="BE38" s="226"/>
      <c r="BF38" s="223">
        <v>1</v>
      </c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VfB Homberg 1</v>
      </c>
      <c r="AI41" s="243"/>
      <c r="AJ41" s="244"/>
      <c r="AK41" s="257" t="str">
        <f>M50</f>
        <v>MVC´19 Team 1</v>
      </c>
      <c r="AL41" s="243"/>
      <c r="AM41" s="244"/>
      <c r="AN41" s="257" t="str">
        <f>M51</f>
        <v>SV Straelen 1</v>
      </c>
      <c r="AO41" s="243"/>
      <c r="AP41" s="244"/>
      <c r="AQ41" s="257" t="str">
        <f>M52</f>
        <v>SV Walbeck 1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  <v>1</v>
      </c>
      <c r="L49" s="241"/>
      <c r="M49" s="238" t="str">
        <f>IF(' '!$L$9=0,D19,VLOOKUP(' '!B5,' '!$C$5:$O$8,4,0))</f>
        <v>VfB Homberg 1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0:1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2:0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2:0</v>
      </c>
      <c r="AR49" s="271"/>
      <c r="AS49" s="271"/>
      <c r="AT49" s="271">
        <f>IF(' '!$L$9=0,"",VLOOKUP(' '!B5,' '!$C$5:$O$8,10,0))</f>
        <v>3</v>
      </c>
      <c r="AU49" s="271"/>
      <c r="AV49" s="364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0</v>
      </c>
      <c r="BA49" s="272"/>
      <c r="BB49" s="272"/>
      <c r="BC49" s="272">
        <f>IF(' '!$L$9=0,"",VLOOKUP(' '!B5,' '!$C$5:$O$8,13,0))</f>
        <v>1</v>
      </c>
      <c r="BD49" s="272"/>
      <c r="BE49" s="272"/>
      <c r="BF49" s="360">
        <f>IF(' '!$L$9=0,"",VLOOKUP(' '!B5,' '!$C$5:$O$8,5,0))</f>
        <v>4</v>
      </c>
      <c r="BG49" s="360"/>
      <c r="BH49" s="123" t="str">
        <f>IF(' '!$L$9=0,"",":")</f>
        <v>:</v>
      </c>
      <c r="BI49" s="361">
        <f>IF(' '!$L$9=0,"",VLOOKUP(' '!B5,' '!$C$5:$O$8,6,0))</f>
        <v>1</v>
      </c>
      <c r="BJ49" s="272"/>
      <c r="BK49" s="372">
        <f>IF(' '!$L$9=0,"",BF49-BI49)</f>
        <v>3</v>
      </c>
      <c r="BL49" s="372"/>
      <c r="BM49" s="373"/>
      <c r="BN49" s="272">
        <f>IF(' '!$L$9=0,"",VLOOKUP(' '!B5,' '!$C$5:$O$8,7,0))</f>
        <v>6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  <v>2</v>
      </c>
      <c r="L50" s="366"/>
      <c r="M50" s="236" t="str">
        <f>IF(' '!$L$9=0,D20,VLOOKUP(' '!B6,' '!$C$5:$O$8,4,0))</f>
        <v>MVC´19 Team 1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1:0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1:1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0:0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1</v>
      </c>
      <c r="AX50" s="264"/>
      <c r="AY50" s="264"/>
      <c r="AZ50" s="264">
        <f>IF(' '!$L$9=0,"",VLOOKUP(' '!B6,' '!$C$5:$O$8,12,0))</f>
        <v>2</v>
      </c>
      <c r="BA50" s="264"/>
      <c r="BB50" s="264"/>
      <c r="BC50" s="264">
        <f>IF(' '!$L$9=0,"",VLOOKUP(' '!B6,' '!$C$5:$O$8,13,0))</f>
        <v>0</v>
      </c>
      <c r="BD50" s="264"/>
      <c r="BE50" s="264"/>
      <c r="BF50" s="351">
        <f>IF(' '!$L$9=0,"",VLOOKUP(' '!B6,' '!$C$5:$O$8,5,0))</f>
        <v>2</v>
      </c>
      <c r="BG50" s="351"/>
      <c r="BH50" s="124" t="str">
        <f>IF(' '!$L$9=0,"",":")</f>
        <v>:</v>
      </c>
      <c r="BI50" s="347">
        <f>IF(' '!$L$9=0,"",VLOOKUP(' '!B6,' '!$C$5:$O$8,6,0))</f>
        <v>1</v>
      </c>
      <c r="BJ50" s="264"/>
      <c r="BK50" s="348">
        <f>IF(' '!$L$9=0,"",BF50-BI50)</f>
        <v>1</v>
      </c>
      <c r="BL50" s="348"/>
      <c r="BM50" s="349"/>
      <c r="BN50" s="264">
        <f>IF(' '!$L$9=0,"",VLOOKUP(' '!B6,' '!$C$5:$O$8,7,0))</f>
        <v>5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  <v>3</v>
      </c>
      <c r="L51" s="366"/>
      <c r="M51" s="236" t="str">
        <f>IF(' '!$L$9=0,D21,VLOOKUP(' '!B7,' '!$C$5:$O$8,4,0))</f>
        <v>SV Straelen 1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0:2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1:1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1:1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0</v>
      </c>
      <c r="AX51" s="264"/>
      <c r="AY51" s="264"/>
      <c r="AZ51" s="264">
        <f>IF(' '!$L$9=0,"",VLOOKUP(' '!B7,' '!$C$5:$O$8,12,0))</f>
        <v>2</v>
      </c>
      <c r="BA51" s="264"/>
      <c r="BB51" s="264"/>
      <c r="BC51" s="264">
        <f>IF(' '!$L$9=0,"",VLOOKUP(' '!B7,' '!$C$5:$O$8,13,0))</f>
        <v>1</v>
      </c>
      <c r="BD51" s="264"/>
      <c r="BE51" s="264"/>
      <c r="BF51" s="351">
        <f>IF(' '!$L$9=0,"",VLOOKUP(' '!B7,' '!$C$5:$O$8,5,0))</f>
        <v>2</v>
      </c>
      <c r="BG51" s="351"/>
      <c r="BH51" s="124" t="str">
        <f>IF(' '!$L$9=0,"",":")</f>
        <v>:</v>
      </c>
      <c r="BI51" s="347">
        <f>IF(' '!$L$9=0,"",VLOOKUP(' '!B7,' '!$C$5:$O$8,6,0))</f>
        <v>4</v>
      </c>
      <c r="BJ51" s="264"/>
      <c r="BK51" s="348">
        <f>IF(' '!$L$9=0,"",BF51-BI51)</f>
        <v>-2</v>
      </c>
      <c r="BL51" s="348"/>
      <c r="BM51" s="349"/>
      <c r="BN51" s="264">
        <f>IF(' '!$L$9=0,"",VLOOKUP(' '!B7,' '!$C$5:$O$8,7,0))</f>
        <v>2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  <v>4</v>
      </c>
      <c r="L52" s="363"/>
      <c r="M52" s="234" t="str">
        <f>IF(' '!$L$9=0,D22,VLOOKUP(' '!B8,' '!$C$5:$O$8,4,0))</f>
        <v>SV Walbeck 1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0:2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0:0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1:1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2</v>
      </c>
      <c r="BA52" s="263"/>
      <c r="BB52" s="263"/>
      <c r="BC52" s="263">
        <f>IF(' '!$L$9=0,"",VLOOKUP(' '!B8,' '!$C$5:$O$8,13,0))</f>
        <v>1</v>
      </c>
      <c r="BD52" s="263"/>
      <c r="BE52" s="263"/>
      <c r="BF52" s="357">
        <f>IF(' '!$L$9=0,"",VLOOKUP(' '!B8,' '!$C$5:$O$8,5,0))</f>
        <v>1</v>
      </c>
      <c r="BG52" s="357"/>
      <c r="BH52" s="125" t="str">
        <f>IF(' '!$L$9=0,"",":")</f>
        <v>:</v>
      </c>
      <c r="BI52" s="358">
        <f>IF(' '!$L$9=0,"",VLOOKUP(' '!B8,' '!$C$5:$O$8,6,0))</f>
        <v>3</v>
      </c>
      <c r="BJ52" s="263"/>
      <c r="BK52" s="376">
        <f>IF(' '!$L$9=0,"",BF52-BI52)</f>
        <v>-2</v>
      </c>
      <c r="BL52" s="376"/>
      <c r="BM52" s="377"/>
      <c r="BN52" s="263">
        <f>IF(' '!$L$9=0,"",VLOOKUP(' '!B8,' '!$C$5:$O$8,7,0))</f>
        <v>2</v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PSV Wesel-Lackhausen 1</v>
      </c>
      <c r="AI54" s="251"/>
      <c r="AJ54" s="251"/>
      <c r="AK54" s="251" t="str">
        <f>M63</f>
        <v>TSV Nieukerk 1</v>
      </c>
      <c r="AL54" s="251"/>
      <c r="AM54" s="251"/>
      <c r="AN54" s="251" t="str">
        <f>M64</f>
        <v>RW Geldern 1</v>
      </c>
      <c r="AO54" s="251"/>
      <c r="AP54" s="251"/>
      <c r="AQ54" s="251" t="str">
        <f>M65</f>
        <v>GSV Geldern 1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  <v>1</v>
      </c>
      <c r="L62" s="241"/>
      <c r="M62" s="238" t="str">
        <f>IF(' '!$L$18=0,AC19,VLOOKUP(' '!B14,' '!$C$14:$O$17,4,0))</f>
        <v>PSV Wesel-Lackhausen 1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1:0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0:0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2:0</v>
      </c>
      <c r="AR62" s="271"/>
      <c r="AS62" s="271"/>
      <c r="AT62" s="271">
        <f>IF(' '!$L$18=0,"",VLOOKUP(' '!B14,' '!$C$14:$O$17,10,0))</f>
        <v>3</v>
      </c>
      <c r="AU62" s="271"/>
      <c r="AV62" s="364"/>
      <c r="AW62" s="359">
        <f>IF(' '!$L$18=0,"",VLOOKUP(' '!B14,' '!$C$14:$O$17,11,0))</f>
        <v>2</v>
      </c>
      <c r="AX62" s="360"/>
      <c r="AY62" s="361"/>
      <c r="AZ62" s="359">
        <f>IF(' '!$L$18=0,"",VLOOKUP(' '!B14,' '!$C$14:$O$17,12,0))</f>
        <v>1</v>
      </c>
      <c r="BA62" s="360"/>
      <c r="BB62" s="361"/>
      <c r="BC62" s="359">
        <f>IF(' '!$L$18=0,"",VLOOKUP(' '!B14,' '!$C$14:$O$17,13,0))</f>
        <v>0</v>
      </c>
      <c r="BD62" s="360"/>
      <c r="BE62" s="361"/>
      <c r="BF62" s="360">
        <f>IF(' '!$L$18=0,"",VLOOKUP(' '!B14,' '!$C$14:$O$17,5,0))</f>
        <v>3</v>
      </c>
      <c r="BG62" s="360"/>
      <c r="BH62" s="123" t="str">
        <f>IF(' '!$L$18=0,"",":")</f>
        <v>:</v>
      </c>
      <c r="BI62" s="361">
        <f>IF(' '!$L$18=0,"",VLOOKUP(' '!B14,' '!$C$14:$O$17,6,0))</f>
        <v>0</v>
      </c>
      <c r="BJ62" s="272"/>
      <c r="BK62" s="372">
        <f>IF(' '!$L$18=0,"",BF62-BI62)</f>
        <v>3</v>
      </c>
      <c r="BL62" s="372"/>
      <c r="BM62" s="373"/>
      <c r="BN62" s="359">
        <f>IF(' '!$L$18=0,"",VLOOKUP(' '!B14,' '!$C$14:$O$17,7,0))</f>
        <v>7</v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  <v>2</v>
      </c>
      <c r="L63" s="366"/>
      <c r="M63" s="236" t="str">
        <f>IF(' '!$L$18=0,AC20,VLOOKUP(' '!B15,' '!$C$14:$O$17,4,0))</f>
        <v>TSV Nieukerk 1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0:1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1:0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3:0</v>
      </c>
      <c r="AR63" s="267"/>
      <c r="AS63" s="267"/>
      <c r="AT63" s="267">
        <f>IF(' '!$L$18=0,"",VLOOKUP(' '!B15,' '!$C$14:$O$17,10,0))</f>
        <v>3</v>
      </c>
      <c r="AU63" s="267"/>
      <c r="AV63" s="273"/>
      <c r="AW63" s="350">
        <f>IF(' '!$L$18=0,"",VLOOKUP(' '!B15,' '!$C$14:$O$17,11,0))</f>
        <v>2</v>
      </c>
      <c r="AX63" s="351"/>
      <c r="AY63" s="347"/>
      <c r="AZ63" s="350">
        <f>IF(' '!$L$18=0,"",VLOOKUP(' '!B15,' '!$C$14:$O$17,12,0))</f>
        <v>0</v>
      </c>
      <c r="BA63" s="351"/>
      <c r="BB63" s="347"/>
      <c r="BC63" s="350">
        <f>IF(' '!$L$18=0,"",VLOOKUP(' '!B15,' '!$C$14:$O$17,13,0))</f>
        <v>1</v>
      </c>
      <c r="BD63" s="351"/>
      <c r="BE63" s="347"/>
      <c r="BF63" s="351">
        <f>IF(' '!$L$18=0,"",VLOOKUP(' '!B15,' '!$C$14:$O$17,5,0))</f>
        <v>4</v>
      </c>
      <c r="BG63" s="351"/>
      <c r="BH63" s="124" t="str">
        <f>IF(' '!$L$18=0,"",":")</f>
        <v>:</v>
      </c>
      <c r="BI63" s="347">
        <f>IF(' '!$L$18=0,"",VLOOKUP(' '!B15,' '!$C$14:$O$17,6,0))</f>
        <v>1</v>
      </c>
      <c r="BJ63" s="264"/>
      <c r="BK63" s="348">
        <f>IF(' '!$L$18=0,"",BF63-BI63)</f>
        <v>3</v>
      </c>
      <c r="BL63" s="348"/>
      <c r="BM63" s="349"/>
      <c r="BN63" s="350">
        <f>IF(' '!$L$18=0,"",VLOOKUP(' '!B15,' '!$C$14:$O$17,7,0))</f>
        <v>6</v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  <v>3</v>
      </c>
      <c r="L64" s="366"/>
      <c r="M64" s="236" t="str">
        <f>IF(' '!$L$18=0,AC21,VLOOKUP(' '!B16,' '!$C$14:$O$17,4,0))</f>
        <v>RW Geldern 1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0:0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0:1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3:0</v>
      </c>
      <c r="AR64" s="267"/>
      <c r="AS64" s="267"/>
      <c r="AT64" s="267">
        <f>IF(' '!$L$18=0,"",VLOOKUP(' '!B16,' '!$C$14:$O$17,10,0))</f>
        <v>3</v>
      </c>
      <c r="AU64" s="267"/>
      <c r="AV64" s="273"/>
      <c r="AW64" s="350">
        <f>IF(' '!$L$18=0,"",VLOOKUP(' '!B16,' '!$C$14:$O$17,11,0))</f>
        <v>1</v>
      </c>
      <c r="AX64" s="351"/>
      <c r="AY64" s="347"/>
      <c r="AZ64" s="350">
        <f>IF(' '!$L$18=0,"",VLOOKUP(' '!B16,' '!$C$14:$O$17,12,0))</f>
        <v>1</v>
      </c>
      <c r="BA64" s="351"/>
      <c r="BB64" s="347"/>
      <c r="BC64" s="350">
        <f>IF(' '!$L$18=0,"",VLOOKUP(' '!B16,' '!$C$14:$O$17,13,0))</f>
        <v>1</v>
      </c>
      <c r="BD64" s="351"/>
      <c r="BE64" s="347"/>
      <c r="BF64" s="351">
        <f>IF(' '!$L$18=0,"",VLOOKUP(' '!B16,' '!$C$14:$O$17,5,0))</f>
        <v>3</v>
      </c>
      <c r="BG64" s="351"/>
      <c r="BH64" s="124" t="str">
        <f>IF(' '!$L$18=0,"",":")</f>
        <v>:</v>
      </c>
      <c r="BI64" s="347">
        <f>IF(' '!$L$18=0,"",VLOOKUP(' '!B16,' '!$C$14:$O$17,6,0))</f>
        <v>1</v>
      </c>
      <c r="BJ64" s="264"/>
      <c r="BK64" s="348">
        <f>IF(' '!$L$18=0,"",BF64-BI64)</f>
        <v>2</v>
      </c>
      <c r="BL64" s="348"/>
      <c r="BM64" s="349"/>
      <c r="BN64" s="350">
        <f>IF(' '!$L$18=0,"",VLOOKUP(' '!B16,' '!$C$14:$O$17,7,0))</f>
        <v>4</v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  <v>4</v>
      </c>
      <c r="L65" s="363"/>
      <c r="M65" s="234" t="str">
        <f>IF(' '!$L$18=0,AC22,VLOOKUP(' '!B17,' '!$C$14:$O$17,4,0))</f>
        <v>GSV Geldern 1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0:2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0:3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0:3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6">
        <f>IF(' '!$L$18=0,"",VLOOKUP(' '!B17,' '!$C$14:$O$17,11,0))</f>
        <v>0</v>
      </c>
      <c r="AX65" s="357"/>
      <c r="AY65" s="358"/>
      <c r="AZ65" s="356">
        <f>IF(' '!$L$18=0,"",VLOOKUP(' '!B17,' '!$C$14:$O$17,12,0))</f>
        <v>0</v>
      </c>
      <c r="BA65" s="357"/>
      <c r="BB65" s="358"/>
      <c r="BC65" s="356">
        <f>IF(' '!$L$18=0,"",VLOOKUP(' '!B17,' '!$C$14:$O$17,13,0))</f>
        <v>3</v>
      </c>
      <c r="BD65" s="357"/>
      <c r="BE65" s="358"/>
      <c r="BF65" s="354">
        <f>IF(' '!$L$18=0,"",VLOOKUP(' '!B17,' '!$C$14:$O$17,5,0))</f>
        <v>0</v>
      </c>
      <c r="BG65" s="354"/>
      <c r="BH65" s="137" t="str">
        <f>IF(' '!$L$18=0,"",":")</f>
        <v>:</v>
      </c>
      <c r="BI65" s="352">
        <f>IF(' '!$L$18=0,"",VLOOKUP(' '!B17,' '!$C$14:$O$17,6,0))</f>
        <v>8</v>
      </c>
      <c r="BJ65" s="353"/>
      <c r="BK65" s="345">
        <f>IF(' '!$L$18=0,"",BF65-BI65)</f>
        <v>-8</v>
      </c>
      <c r="BL65" s="345"/>
      <c r="BM65" s="346"/>
      <c r="BN65" s="356">
        <f>IF(' '!$L$18=0,"",VLOOKUP(' '!B17,' '!$C$14:$O$17,7,0))</f>
        <v>0</v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0.6986111111111108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10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3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0.6986111111111108</v>
      </c>
      <c r="F73" s="396"/>
      <c r="G73" s="396"/>
      <c r="H73" s="396"/>
      <c r="I73" s="316" t="str">
        <f>IF(OR(' '!L9=0,' '!B9&lt;&gt;SUM(AT49:AV52)),"",IF(OR(G49=1,G50=1,G51=1,G52=1),VLOOKUP(SMALL($G$49:$I$52,1),$G$49:$AG$52,7,0),IF(AND(SUM(AT49:AV52)=' '!B9,' '!E9=1),M49,"1. Platz Gruppe A nicht eindeutig")))</f>
        <v>VfB Homberg 1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 t="str">
        <f>IF(OR(' '!L18=0,' '!B18&lt;&gt;SUM(AT62:AV65)),"",IF(OR(G62=2,G63=2,G64=2,G65=2),VLOOKUP(SMALL($G$62:$I$65,2),$G$62:$AG$65,7,0),IF(AND(SUM(AT62:AV65)=' '!B18,' '!E19=1),M63,"2. Platz Gruppe B nicht eindeutig")))</f>
        <v>TSV Nieukerk 1</v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>
        <v>1</v>
      </c>
      <c r="BA73" s="386"/>
      <c r="BB73" s="307"/>
      <c r="BC73" s="310">
        <v>0</v>
      </c>
      <c r="BD73" s="310"/>
      <c r="BE73" s="214"/>
      <c r="BF73" s="215"/>
      <c r="BG73" s="215"/>
      <c r="BH73" s="216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0.7076388888888886</v>
      </c>
      <c r="F77" s="396"/>
      <c r="G77" s="396"/>
      <c r="H77" s="396"/>
      <c r="I77" s="316" t="str">
        <f>IF(OR(' '!L18=0,' '!B18&lt;&gt;SUM(AT62:AV65)),"",IF(OR(G62=1,G63=1,G64=1,G65=1),VLOOKUP(SMALL($G$62:$I$65,1),$G$62:$AG$65,7,0),IF(AND(SUM(AT62:AV65)=' '!B18,' '!E18=1),M62,"1. Platz Gruppe B nicht eindeutig")))</f>
        <v>PSV Wesel-Lackhausen 1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 t="str">
        <f>IF(OR(' '!L9=0,' '!B9&lt;&gt;SUM(AT49:AV52)),"",IF(OR(G49=2,G50=2,G51=2,G52=2),VLOOKUP(SMALL($G$49:$I$52,2),$G$49:$AG$52,7,0),IF(AND(SUM(AT49:AV52)=' '!B9,' '!E10=1),M50,"2. Platz Gruppe A nicht eindeutig")))</f>
        <v>MVC´19 Team 1</v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>
        <v>1</v>
      </c>
      <c r="BA77" s="386"/>
      <c r="BB77" s="307"/>
      <c r="BC77" s="310">
        <v>0</v>
      </c>
      <c r="BD77" s="310"/>
      <c r="BE77" s="214"/>
      <c r="BF77" s="215"/>
      <c r="BG77" s="215"/>
      <c r="BH77" s="216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0.7166666666666663</v>
      </c>
      <c r="F81" s="396"/>
      <c r="G81" s="396"/>
      <c r="H81" s="396"/>
      <c r="I81" s="316" t="str">
        <f>IF(OR(' '!L9=0,' '!B9&lt;&gt;SUM(AT49:AV52)),"",IF(OR(G49=4,G50=4,G51=4,G52=4),VLOOKUP(SMALL($G$49:$I$52,4),$G$49:$AG$52,7,0),IF(AND(SUM(AT49:AV52)=' '!B9,' '!E12=1),M52,"4. Platz Gruppe A nicht eindeutig")))</f>
        <v>SV Walbeck 1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 t="str">
        <f>IF(OR(' '!L18=0,' '!B18&lt;&gt;SUM(AT62:AV65)),"",IF(OR(G62=4,G63=4,G64=4,G65=4),VLOOKUP(SMALL($G$62:$I$65,4),$G$62:$AG$65,7,0),IF(AND(SUM(AT62:AV65)=' '!B18,' '!E21=1),M65,"4. Platz Gruppe B nicht eindeutig")))</f>
        <v>GSV Geldern 1</v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>
        <v>3</v>
      </c>
      <c r="BA81" s="386"/>
      <c r="BB81" s="307"/>
      <c r="BC81" s="310">
        <v>0</v>
      </c>
      <c r="BD81" s="310"/>
      <c r="BE81" s="214"/>
      <c r="BF81" s="215"/>
      <c r="BG81" s="215"/>
      <c r="BH81" s="216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0.7256944444444441</v>
      </c>
      <c r="F85" s="396"/>
      <c r="G85" s="396"/>
      <c r="H85" s="396"/>
      <c r="I85" s="316" t="str">
        <f>IF(OR(' '!L9=0,' '!B9&lt;&gt;SUM(AT49:AV52)),"",IF(OR(G49=3,G50=3,G51=3,G52=3),VLOOKUP(SMALL($G$49:$I$52,3),$G$49:$AG$52,7,0),IF(AND(SUM(AT49:AV52)=' '!B9,' '!E11=1),M51,"3. Platz Gruppe A nicht eindeutig")))</f>
        <v>SV Straelen 1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 t="str">
        <f>IF(OR(' '!L18=0,' '!B18&lt;&gt;SUM(AT62:AV65)),"",IF(OR(G62=3,G63=3,G64=3,G65=3),VLOOKUP(SMALL($G$62:$I$65,3),$G$62:$AG$65,7,0),IF(AND(SUM(AT62:AV65)=' '!B18,' '!E20=1),M64,"3. Platz Gruppe B nicht eindeutig")))</f>
        <v>RW Geldern 1</v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>
        <v>1</v>
      </c>
      <c r="BA85" s="386"/>
      <c r="BB85" s="307"/>
      <c r="BC85" s="310">
        <v>0</v>
      </c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0.7347222222222218</v>
      </c>
      <c r="F89" s="396"/>
      <c r="G89" s="396"/>
      <c r="H89" s="396"/>
      <c r="I89" s="316" t="str">
        <f>IF(ISBLANK(AZ73)," ",IF(AZ73&lt;BC73,I73,IF(AZ73&lt;BC73,AE73,AE73)))</f>
        <v>TSV Nieukerk 1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MVC´19 Team 1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>
        <v>1</v>
      </c>
      <c r="BA89" s="386"/>
      <c r="BB89" s="307"/>
      <c r="BC89" s="310">
        <v>0</v>
      </c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0.7437499999999996</v>
      </c>
      <c r="F93" s="396"/>
      <c r="G93" s="396"/>
      <c r="H93" s="396"/>
      <c r="I93" s="316" t="str">
        <f>IF(ISBLANK(AZ73)," ",IF(AZ73&gt;BC73,I73,IF(AZ73&lt;BC73,AE73," ")))</f>
        <v>VfB Homberg 1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PSV Wesel-Lackhausen 1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>
        <v>0</v>
      </c>
      <c r="BA93" s="386"/>
      <c r="BB93" s="307"/>
      <c r="BC93" s="310">
        <v>2</v>
      </c>
      <c r="BD93" s="310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PSV Wesel-Lackhausen 1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VfB Homberg 1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TSV Nieukerk 1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MVC´19 Team 1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SV Straelen 1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RW Geldern 1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SV Walbeck 1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GSV Geldern 1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75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SV Grün Weiß Vernum 1949 e.V.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22. GWV Jugendturnier 2017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E1 - Junioren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42882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Gerhard-Waerdt Sportanlage, Vernumer Str. 157, 47608 Geldern/Vernum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0.5833333333333334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10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3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MVC´19 Team 1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PSV Wesel-Lackhausen 1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SV Straelen 1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TSV Nieukerk 1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VfB Homberg 1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RW Geldern 1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SV Walbeck 1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GSV Geldern 1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0.5833333333333334</v>
      </c>
      <c r="H23" s="612"/>
      <c r="I23" s="612"/>
      <c r="J23" s="613"/>
      <c r="K23" s="533" t="str">
        <f>Ergebniseingabe!L27</f>
        <v>MVC´19 Team 1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SV Straelen 1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  <v>1</v>
      </c>
      <c r="BC23" s="616"/>
      <c r="BD23" s="616"/>
      <c r="BE23" s="426">
        <f>IF(Ergebniseingabe!BF27="","",Ergebniseingabe!BF27)</f>
        <v>1</v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0.5923611111111111</v>
      </c>
      <c r="H24" s="547"/>
      <c r="I24" s="547"/>
      <c r="J24" s="548"/>
      <c r="K24" s="580" t="str">
        <f>Ergebniseingabe!L28</f>
        <v>VfB Homberg 1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SV Walbeck 1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  <v>2</v>
      </c>
      <c r="BC24" s="589"/>
      <c r="BD24" s="589"/>
      <c r="BE24" s="582">
        <f>IF(Ergebniseingabe!BF28="","",Ergebniseingabe!BF28)</f>
        <v>0</v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0.6013888888888889</v>
      </c>
      <c r="H25" s="550"/>
      <c r="I25" s="550"/>
      <c r="J25" s="551"/>
      <c r="K25" s="610" t="str">
        <f>Ergebniseingabe!L29</f>
        <v>PSV Wesel-Lackhausen 1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TSV Nieukerk 1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  <v>1</v>
      </c>
      <c r="BC25" s="587"/>
      <c r="BD25" s="587"/>
      <c r="BE25" s="584">
        <f>IF(Ergebniseingabe!BF29="","",Ergebniseingabe!BF29)</f>
        <v>0</v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0.6104166666666666</v>
      </c>
      <c r="H26" s="547"/>
      <c r="I26" s="547"/>
      <c r="J26" s="548"/>
      <c r="K26" s="580" t="str">
        <f>Ergebniseingabe!L30</f>
        <v>RW Geldern 1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GSV Geldern 1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  <v>3</v>
      </c>
      <c r="BC26" s="589"/>
      <c r="BD26" s="589"/>
      <c r="BE26" s="582">
        <f>IF(Ergebniseingabe!BF30="","",Ergebniseingabe!BF30)</f>
        <v>0</v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0.6194444444444444</v>
      </c>
      <c r="H27" s="550"/>
      <c r="I27" s="550"/>
      <c r="J27" s="551"/>
      <c r="K27" s="610" t="str">
        <f>Ergebniseingabe!L31</f>
        <v>MVC´19 Team 1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VfB Homberg 1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  <v>1</v>
      </c>
      <c r="BC27" s="587"/>
      <c r="BD27" s="587"/>
      <c r="BE27" s="584">
        <f>IF(Ergebniseingabe!BF31="","",Ergebniseingabe!BF31)</f>
        <v>0</v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0.6284722222222221</v>
      </c>
      <c r="H28" s="547"/>
      <c r="I28" s="547"/>
      <c r="J28" s="548"/>
      <c r="K28" s="580" t="str">
        <f>Ergebniseingabe!L32</f>
        <v>SV Straelen 1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SV Walbeck 1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  <v>1</v>
      </c>
      <c r="BC28" s="589"/>
      <c r="BD28" s="589"/>
      <c r="BE28" s="582">
        <f>IF(Ergebniseingabe!BF32="","",Ergebniseingabe!BF32)</f>
        <v>1</v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0.6374999999999998</v>
      </c>
      <c r="H29" s="550"/>
      <c r="I29" s="550"/>
      <c r="J29" s="551"/>
      <c r="K29" s="610" t="str">
        <f>Ergebniseingabe!L33</f>
        <v>PSV Wesel-Lackhausen 1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RW Geldern 1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  <v>0</v>
      </c>
      <c r="BC29" s="587"/>
      <c r="BD29" s="587"/>
      <c r="BE29" s="584">
        <f>IF(Ergebniseingabe!BF33="","",Ergebniseingabe!BF33)</f>
        <v>0</v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0.6465277777777776</v>
      </c>
      <c r="H30" s="547"/>
      <c r="I30" s="547"/>
      <c r="J30" s="548"/>
      <c r="K30" s="580" t="str">
        <f>Ergebniseingabe!L34</f>
        <v>TSV Nieukerk 1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GSV Geldern 1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  <v>3</v>
      </c>
      <c r="BC30" s="589"/>
      <c r="BD30" s="589"/>
      <c r="BE30" s="582">
        <f>IF(Ergebniseingabe!BF34="","",Ergebniseingabe!BF34)</f>
        <v>0</v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0.6555555555555553</v>
      </c>
      <c r="H31" s="550"/>
      <c r="I31" s="550"/>
      <c r="J31" s="551"/>
      <c r="K31" s="610" t="str">
        <f>Ergebniseingabe!L35</f>
        <v>SV Walbeck 1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MVC´19 Team 1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  <v>0</v>
      </c>
      <c r="BC31" s="587"/>
      <c r="BD31" s="587"/>
      <c r="BE31" s="584">
        <f>IF(Ergebniseingabe!BF35="","",Ergebniseingabe!BF35)</f>
        <v>0</v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0.6645833333333331</v>
      </c>
      <c r="H32" s="547"/>
      <c r="I32" s="547"/>
      <c r="J32" s="548"/>
      <c r="K32" s="580" t="str">
        <f>Ergebniseingabe!L36</f>
        <v>VfB Homberg 1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SV Straelen 1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  <v>2</v>
      </c>
      <c r="BC32" s="589"/>
      <c r="BD32" s="589"/>
      <c r="BE32" s="582">
        <f>IF(Ergebniseingabe!BF36="","",Ergebniseingabe!BF36)</f>
        <v>0</v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0.6736111111111108</v>
      </c>
      <c r="H33" s="550"/>
      <c r="I33" s="550"/>
      <c r="J33" s="551"/>
      <c r="K33" s="610" t="str">
        <f>Ergebniseingabe!L37</f>
        <v>GSV Geldern 1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PSV Wesel-Lackhausen 1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  <v>0</v>
      </c>
      <c r="BC33" s="587"/>
      <c r="BD33" s="587"/>
      <c r="BE33" s="584">
        <f>IF(Ergebniseingabe!BF37="","",Ergebniseingabe!BF37)</f>
        <v>2</v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0.6826388888888886</v>
      </c>
      <c r="H34" s="547"/>
      <c r="I34" s="547"/>
      <c r="J34" s="548"/>
      <c r="K34" s="580" t="str">
        <f>Ergebniseingabe!L38</f>
        <v>RW Geldern 1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TSV Nieukerk 1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  <v>0</v>
      </c>
      <c r="BC34" s="589"/>
      <c r="BD34" s="589"/>
      <c r="BE34" s="582">
        <f>IF(Ergebniseingabe!BF38="","",Ergebniseingabe!BF38)</f>
        <v>1</v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VfB Homberg 1</v>
      </c>
      <c r="AH37" s="592"/>
      <c r="AI37" s="602"/>
      <c r="AJ37" s="591" t="str">
        <f>L46</f>
        <v>MVC´19 Team 1</v>
      </c>
      <c r="AK37" s="592"/>
      <c r="AL37" s="602"/>
      <c r="AM37" s="591" t="str">
        <f>L47</f>
        <v>SV Straelen 1</v>
      </c>
      <c r="AN37" s="592"/>
      <c r="AO37" s="602"/>
      <c r="AP37" s="591" t="str">
        <f>L48</f>
        <v>SV Walbeck 1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  <v>1</v>
      </c>
      <c r="K45" s="480"/>
      <c r="L45" s="460" t="str">
        <f>Ergebniseingabe!M49</f>
        <v>VfB Homberg 1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 t="str">
        <f>Ergebniseingabe!AK49</f>
        <v>0:1</v>
      </c>
      <c r="AK45" s="569"/>
      <c r="AL45" s="568"/>
      <c r="AM45" s="573" t="str">
        <f>Ergebniseingabe!AN49</f>
        <v>2:0</v>
      </c>
      <c r="AN45" s="569"/>
      <c r="AO45" s="568"/>
      <c r="AP45" s="434" t="str">
        <f>Ergebniseingabe!AQ49</f>
        <v>2:0</v>
      </c>
      <c r="AQ45" s="435"/>
      <c r="AR45" s="435"/>
      <c r="AS45" s="435">
        <f>Ergebniseingabe!AT49</f>
        <v>3</v>
      </c>
      <c r="AT45" s="435"/>
      <c r="AU45" s="572"/>
      <c r="AV45" s="478">
        <f>Ergebniseingabe!AW49</f>
        <v>2</v>
      </c>
      <c r="AW45" s="478"/>
      <c r="AX45" s="478"/>
      <c r="AY45" s="478">
        <f>Ergebniseingabe!AZ49</f>
        <v>0</v>
      </c>
      <c r="AZ45" s="478"/>
      <c r="BA45" s="478"/>
      <c r="BB45" s="478">
        <f>Ergebniseingabe!BC49</f>
        <v>1</v>
      </c>
      <c r="BC45" s="478"/>
      <c r="BD45" s="478"/>
      <c r="BE45" s="569">
        <f>Ergebniseingabe!BF49</f>
        <v>4</v>
      </c>
      <c r="BF45" s="569"/>
      <c r="BG45" s="79" t="str">
        <f>Ergebniseingabe!BH49</f>
        <v>:</v>
      </c>
      <c r="BH45" s="568">
        <f>Ergebniseingabe!BI49</f>
        <v>1</v>
      </c>
      <c r="BI45" s="478"/>
      <c r="BJ45" s="570">
        <f>Ergebniseingabe!BK49</f>
        <v>3</v>
      </c>
      <c r="BK45" s="570"/>
      <c r="BL45" s="571"/>
      <c r="BM45" s="478">
        <f>Ergebniseingabe!BN49</f>
        <v>6</v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  <v>2</v>
      </c>
      <c r="K46" s="553"/>
      <c r="L46" s="441" t="str">
        <f>Ergebniseingabe!M50</f>
        <v>MVC´19 Team 1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 t="str">
        <f>Ergebniseingabe!AH50</f>
        <v>1:0</v>
      </c>
      <c r="AH46" s="462"/>
      <c r="AI46" s="463"/>
      <c r="AJ46" s="455"/>
      <c r="AK46" s="456"/>
      <c r="AL46" s="457"/>
      <c r="AM46" s="452" t="str">
        <f>Ergebniseingabe!AN50</f>
        <v>1:1</v>
      </c>
      <c r="AN46" s="453"/>
      <c r="AO46" s="454"/>
      <c r="AP46" s="486" t="str">
        <f>Ergebniseingabe!AQ50</f>
        <v>0:0</v>
      </c>
      <c r="AQ46" s="462"/>
      <c r="AR46" s="462"/>
      <c r="AS46" s="462">
        <f>Ergebniseingabe!AT50</f>
        <v>3</v>
      </c>
      <c r="AT46" s="462"/>
      <c r="AU46" s="463"/>
      <c r="AV46" s="487">
        <f>Ergebniseingabe!AW50</f>
        <v>1</v>
      </c>
      <c r="AW46" s="487"/>
      <c r="AX46" s="487"/>
      <c r="AY46" s="487">
        <f>Ergebniseingabe!AZ50</f>
        <v>2</v>
      </c>
      <c r="AZ46" s="487"/>
      <c r="BA46" s="487"/>
      <c r="BB46" s="487">
        <f>Ergebniseingabe!BC50</f>
        <v>0</v>
      </c>
      <c r="BC46" s="487"/>
      <c r="BD46" s="487"/>
      <c r="BE46" s="453">
        <f>Ergebniseingabe!BF50</f>
        <v>2</v>
      </c>
      <c r="BF46" s="453"/>
      <c r="BG46" s="80" t="str">
        <f>Ergebniseingabe!BH50</f>
        <v>:</v>
      </c>
      <c r="BH46" s="454">
        <f>Ergebniseingabe!BI50</f>
        <v>1</v>
      </c>
      <c r="BI46" s="487"/>
      <c r="BJ46" s="564">
        <f>Ergebniseingabe!BK50</f>
        <v>1</v>
      </c>
      <c r="BK46" s="564"/>
      <c r="BL46" s="565"/>
      <c r="BM46" s="487">
        <f>Ergebniseingabe!BN50</f>
        <v>5</v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  <v>3</v>
      </c>
      <c r="K47" s="553"/>
      <c r="L47" s="441" t="str">
        <f>Ergebniseingabe!M51</f>
        <v>SV Straelen 1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 t="str">
        <f>Ergebniseingabe!AH51</f>
        <v>0:2</v>
      </c>
      <c r="AH47" s="462"/>
      <c r="AI47" s="463"/>
      <c r="AJ47" s="452" t="str">
        <f>Ergebniseingabe!AK51</f>
        <v>1:1</v>
      </c>
      <c r="AK47" s="453"/>
      <c r="AL47" s="454"/>
      <c r="AM47" s="455"/>
      <c r="AN47" s="456"/>
      <c r="AO47" s="457"/>
      <c r="AP47" s="486" t="str">
        <f>Ergebniseingabe!AQ51</f>
        <v>1:1</v>
      </c>
      <c r="AQ47" s="462"/>
      <c r="AR47" s="462"/>
      <c r="AS47" s="462">
        <f>Ergebniseingabe!AT51</f>
        <v>3</v>
      </c>
      <c r="AT47" s="462"/>
      <c r="AU47" s="463"/>
      <c r="AV47" s="487">
        <f>Ergebniseingabe!AW51</f>
        <v>0</v>
      </c>
      <c r="AW47" s="487"/>
      <c r="AX47" s="487"/>
      <c r="AY47" s="487">
        <f>Ergebniseingabe!AZ51</f>
        <v>2</v>
      </c>
      <c r="AZ47" s="487"/>
      <c r="BA47" s="487"/>
      <c r="BB47" s="487">
        <f>Ergebniseingabe!BC51</f>
        <v>1</v>
      </c>
      <c r="BC47" s="487"/>
      <c r="BD47" s="487"/>
      <c r="BE47" s="453">
        <f>Ergebniseingabe!BF51</f>
        <v>2</v>
      </c>
      <c r="BF47" s="453"/>
      <c r="BG47" s="80" t="str">
        <f>Ergebniseingabe!BH51</f>
        <v>:</v>
      </c>
      <c r="BH47" s="454">
        <f>Ergebniseingabe!BI51</f>
        <v>4</v>
      </c>
      <c r="BI47" s="487"/>
      <c r="BJ47" s="564">
        <f>Ergebniseingabe!BK51</f>
        <v>-2</v>
      </c>
      <c r="BK47" s="564"/>
      <c r="BL47" s="565"/>
      <c r="BM47" s="487">
        <f>Ergebniseingabe!BN51</f>
        <v>2</v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  <v>4</v>
      </c>
      <c r="K48" s="619"/>
      <c r="L48" s="439" t="str">
        <f>Ergebniseingabe!M52</f>
        <v>SV Walbeck 1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 t="str">
        <f>Ergebniseingabe!AH52</f>
        <v>0:2</v>
      </c>
      <c r="AH48" s="458"/>
      <c r="AI48" s="459"/>
      <c r="AJ48" s="481" t="str">
        <f>Ergebniseingabe!AK52</f>
        <v>0:0</v>
      </c>
      <c r="AK48" s="482"/>
      <c r="AL48" s="483"/>
      <c r="AM48" s="481" t="str">
        <f>Ergebniseingabe!AN52</f>
        <v>1:1</v>
      </c>
      <c r="AN48" s="482"/>
      <c r="AO48" s="483"/>
      <c r="AP48" s="484"/>
      <c r="AQ48" s="485"/>
      <c r="AR48" s="485"/>
      <c r="AS48" s="458">
        <f>Ergebniseingabe!AT52</f>
        <v>3</v>
      </c>
      <c r="AT48" s="458"/>
      <c r="AU48" s="459"/>
      <c r="AV48" s="557">
        <f>Ergebniseingabe!AW52</f>
        <v>0</v>
      </c>
      <c r="AW48" s="557"/>
      <c r="AX48" s="557"/>
      <c r="AY48" s="557">
        <f>Ergebniseingabe!AZ52</f>
        <v>2</v>
      </c>
      <c r="AZ48" s="557"/>
      <c r="BA48" s="557"/>
      <c r="BB48" s="557">
        <f>Ergebniseingabe!BC52</f>
        <v>1</v>
      </c>
      <c r="BC48" s="557"/>
      <c r="BD48" s="557"/>
      <c r="BE48" s="482">
        <f>Ergebniseingabe!BF52</f>
        <v>1</v>
      </c>
      <c r="BF48" s="482"/>
      <c r="BG48" s="81" t="str">
        <f>Ergebniseingabe!BH52</f>
        <v>:</v>
      </c>
      <c r="BH48" s="483">
        <f>Ergebniseingabe!BI52</f>
        <v>3</v>
      </c>
      <c r="BI48" s="557"/>
      <c r="BJ48" s="578">
        <f>Ergebniseingabe!BK52</f>
        <v>-2</v>
      </c>
      <c r="BK48" s="578"/>
      <c r="BL48" s="579"/>
      <c r="BM48" s="557">
        <f>Ergebniseingabe!BN52</f>
        <v>2</v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PSV Wesel-Lackhausen 1</v>
      </c>
      <c r="AH50" s="465"/>
      <c r="AI50" s="466"/>
      <c r="AJ50" s="464" t="str">
        <f>L59</f>
        <v>TSV Nieukerk 1</v>
      </c>
      <c r="AK50" s="465"/>
      <c r="AL50" s="466"/>
      <c r="AM50" s="464" t="str">
        <f>L60</f>
        <v>RW Geldern 1</v>
      </c>
      <c r="AN50" s="465"/>
      <c r="AO50" s="466"/>
      <c r="AP50" s="464" t="str">
        <f>L61</f>
        <v>GSV Geldern 1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  <v>1</v>
      </c>
      <c r="K58" s="480"/>
      <c r="L58" s="460" t="str">
        <f>Ergebniseingabe!M62</f>
        <v>PSV Wesel-Lackhausen 1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 t="str">
        <f>Ergebniseingabe!AK62</f>
        <v>1:0</v>
      </c>
      <c r="AK58" s="478"/>
      <c r="AL58" s="478"/>
      <c r="AM58" s="478" t="str">
        <f>Ergebniseingabe!AN62</f>
        <v>0:0</v>
      </c>
      <c r="AN58" s="478"/>
      <c r="AO58" s="478"/>
      <c r="AP58" s="434" t="str">
        <f>Ergebniseingabe!AQ62</f>
        <v>2:0</v>
      </c>
      <c r="AQ58" s="435"/>
      <c r="AR58" s="435"/>
      <c r="AS58" s="435">
        <f>Ergebniseingabe!AT62</f>
        <v>3</v>
      </c>
      <c r="AT58" s="435"/>
      <c r="AU58" s="572"/>
      <c r="AV58" s="573">
        <f>Ergebniseingabe!AW62</f>
        <v>2</v>
      </c>
      <c r="AW58" s="569"/>
      <c r="AX58" s="568"/>
      <c r="AY58" s="573">
        <f>Ergebniseingabe!AZ62</f>
        <v>1</v>
      </c>
      <c r="AZ58" s="569"/>
      <c r="BA58" s="568"/>
      <c r="BB58" s="573">
        <f>Ergebniseingabe!BC62</f>
        <v>0</v>
      </c>
      <c r="BC58" s="569"/>
      <c r="BD58" s="568"/>
      <c r="BE58" s="569">
        <f>Ergebniseingabe!BF62</f>
        <v>3</v>
      </c>
      <c r="BF58" s="569"/>
      <c r="BG58" s="79" t="str">
        <f>Ergebniseingabe!BH62</f>
        <v>:</v>
      </c>
      <c r="BH58" s="568">
        <f>Ergebniseingabe!BI62</f>
        <v>0</v>
      </c>
      <c r="BI58" s="478"/>
      <c r="BJ58" s="570">
        <f>Ergebniseingabe!BK62</f>
        <v>3</v>
      </c>
      <c r="BK58" s="570"/>
      <c r="BL58" s="571"/>
      <c r="BM58" s="573">
        <f>Ergebniseingabe!BN62</f>
        <v>7</v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  <v>2</v>
      </c>
      <c r="K59" s="553"/>
      <c r="L59" s="441" t="str">
        <f>Ergebniseingabe!M63</f>
        <v>TSV Nieukerk 1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 t="str">
        <f>Ergebniseingabe!AH63</f>
        <v>0:1</v>
      </c>
      <c r="AH59" s="462"/>
      <c r="AI59" s="463"/>
      <c r="AJ59" s="558"/>
      <c r="AK59" s="558"/>
      <c r="AL59" s="558"/>
      <c r="AM59" s="487" t="str">
        <f>Ergebniseingabe!AN63</f>
        <v>1:0</v>
      </c>
      <c r="AN59" s="487"/>
      <c r="AO59" s="487"/>
      <c r="AP59" s="486" t="str">
        <f>Ergebniseingabe!AQ63</f>
        <v>3:0</v>
      </c>
      <c r="AQ59" s="462"/>
      <c r="AR59" s="462"/>
      <c r="AS59" s="462">
        <f>Ergebniseingabe!AT63</f>
        <v>3</v>
      </c>
      <c r="AT59" s="462"/>
      <c r="AU59" s="463"/>
      <c r="AV59" s="452">
        <f>Ergebniseingabe!AW63</f>
        <v>2</v>
      </c>
      <c r="AW59" s="453"/>
      <c r="AX59" s="454"/>
      <c r="AY59" s="452">
        <f>Ergebniseingabe!AZ63</f>
        <v>0</v>
      </c>
      <c r="AZ59" s="453"/>
      <c r="BA59" s="454"/>
      <c r="BB59" s="452">
        <f>Ergebniseingabe!BC63</f>
        <v>1</v>
      </c>
      <c r="BC59" s="453"/>
      <c r="BD59" s="454"/>
      <c r="BE59" s="453">
        <f>Ergebniseingabe!BF63</f>
        <v>4</v>
      </c>
      <c r="BF59" s="453"/>
      <c r="BG59" s="80" t="str">
        <f>Ergebniseingabe!BH63</f>
        <v>:</v>
      </c>
      <c r="BH59" s="454">
        <f>Ergebniseingabe!BI63</f>
        <v>1</v>
      </c>
      <c r="BI59" s="487"/>
      <c r="BJ59" s="564">
        <f>Ergebniseingabe!BK63</f>
        <v>3</v>
      </c>
      <c r="BK59" s="564"/>
      <c r="BL59" s="565"/>
      <c r="BM59" s="452">
        <f>Ergebniseingabe!BN63</f>
        <v>6</v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  <v>3</v>
      </c>
      <c r="K60" s="553"/>
      <c r="L60" s="441" t="str">
        <f>Ergebniseingabe!M64</f>
        <v>RW Geldern 1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 t="str">
        <f>Ergebniseingabe!AH64</f>
        <v>0:0</v>
      </c>
      <c r="AH60" s="462"/>
      <c r="AI60" s="463"/>
      <c r="AJ60" s="487" t="str">
        <f>Ergebniseingabe!AK64</f>
        <v>0:1</v>
      </c>
      <c r="AK60" s="487"/>
      <c r="AL60" s="487"/>
      <c r="AM60" s="558"/>
      <c r="AN60" s="558"/>
      <c r="AO60" s="558"/>
      <c r="AP60" s="486" t="str">
        <f>Ergebniseingabe!AQ64</f>
        <v>3:0</v>
      </c>
      <c r="AQ60" s="462"/>
      <c r="AR60" s="462"/>
      <c r="AS60" s="462">
        <f>Ergebniseingabe!AT64</f>
        <v>3</v>
      </c>
      <c r="AT60" s="462"/>
      <c r="AU60" s="463"/>
      <c r="AV60" s="452">
        <f>Ergebniseingabe!AW64</f>
        <v>1</v>
      </c>
      <c r="AW60" s="453"/>
      <c r="AX60" s="454"/>
      <c r="AY60" s="452">
        <f>Ergebniseingabe!AZ64</f>
        <v>1</v>
      </c>
      <c r="AZ60" s="453"/>
      <c r="BA60" s="454"/>
      <c r="BB60" s="452">
        <f>Ergebniseingabe!BC64</f>
        <v>1</v>
      </c>
      <c r="BC60" s="453"/>
      <c r="BD60" s="454"/>
      <c r="BE60" s="453">
        <f>Ergebniseingabe!BF64</f>
        <v>3</v>
      </c>
      <c r="BF60" s="453"/>
      <c r="BG60" s="80" t="str">
        <f>Ergebniseingabe!BH64</f>
        <v>:</v>
      </c>
      <c r="BH60" s="454">
        <f>Ergebniseingabe!BI64</f>
        <v>1</v>
      </c>
      <c r="BI60" s="487"/>
      <c r="BJ60" s="564">
        <f>Ergebniseingabe!BK64</f>
        <v>2</v>
      </c>
      <c r="BK60" s="564"/>
      <c r="BL60" s="565"/>
      <c r="BM60" s="452">
        <f>Ergebniseingabe!BN64</f>
        <v>4</v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  <v>4</v>
      </c>
      <c r="K61" s="619"/>
      <c r="L61" s="439" t="str">
        <f>Ergebniseingabe!M65</f>
        <v>GSV Geldern 1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 t="str">
        <f>Ergebniseingabe!AH65</f>
        <v>0:2</v>
      </c>
      <c r="AH61" s="458"/>
      <c r="AI61" s="459"/>
      <c r="AJ61" s="557" t="str">
        <f>Ergebniseingabe!AK65</f>
        <v>0:3</v>
      </c>
      <c r="AK61" s="557"/>
      <c r="AL61" s="557"/>
      <c r="AM61" s="557" t="str">
        <f>Ergebniseingabe!AN65</f>
        <v>0:3</v>
      </c>
      <c r="AN61" s="557"/>
      <c r="AO61" s="557"/>
      <c r="AP61" s="484"/>
      <c r="AQ61" s="485"/>
      <c r="AR61" s="485"/>
      <c r="AS61" s="458">
        <f>Ergebniseingabe!AT65</f>
        <v>3</v>
      </c>
      <c r="AT61" s="458"/>
      <c r="AU61" s="459"/>
      <c r="AV61" s="481">
        <f>Ergebniseingabe!AW65</f>
        <v>0</v>
      </c>
      <c r="AW61" s="482"/>
      <c r="AX61" s="483"/>
      <c r="AY61" s="481">
        <f>Ergebniseingabe!AZ65</f>
        <v>0</v>
      </c>
      <c r="AZ61" s="482"/>
      <c r="BA61" s="483"/>
      <c r="BB61" s="481">
        <f>Ergebniseingabe!BC65</f>
        <v>3</v>
      </c>
      <c r="BC61" s="482"/>
      <c r="BD61" s="483"/>
      <c r="BE61" s="482">
        <f>Ergebniseingabe!BF65</f>
        <v>0</v>
      </c>
      <c r="BF61" s="482"/>
      <c r="BG61" s="81" t="str">
        <f>Ergebniseingabe!BH65</f>
        <v>:</v>
      </c>
      <c r="BH61" s="483">
        <f>Ergebniseingabe!BI65</f>
        <v>8</v>
      </c>
      <c r="BI61" s="557"/>
      <c r="BJ61" s="578">
        <f>Ergebniseingabe!BK65</f>
        <v>-8</v>
      </c>
      <c r="BK61" s="578"/>
      <c r="BL61" s="579"/>
      <c r="BM61" s="481">
        <f>Ergebniseingabe!BN65</f>
        <v>0</v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SV Grün Weiß Vernum 1949 e.V.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22. GWV Jugendturnier 2017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42882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0.6986111111111108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10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3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0.6986111111111108</v>
      </c>
      <c r="E74" s="521"/>
      <c r="F74" s="521"/>
      <c r="G74" s="521"/>
      <c r="H74" s="533" t="str">
        <f>Ergebniseingabe!I73</f>
        <v>VfB Homberg 1</v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 t="str">
        <f>Ergebniseingabe!AE73</f>
        <v>TSV Nieukerk 1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  <v>1</v>
      </c>
      <c r="AZ74" s="506"/>
      <c r="BA74" s="507"/>
      <c r="BB74" s="526">
        <f>IF(Ergebniseingabe!BC73="","",Ergebniseingabe!BC73)</f>
        <v>0</v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0.7076388888888886</v>
      </c>
      <c r="E78" s="521"/>
      <c r="F78" s="521"/>
      <c r="G78" s="521"/>
      <c r="H78" s="533" t="str">
        <f>Ergebniseingabe!I77</f>
        <v>PSV Wesel-Lackhausen 1</v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 t="str">
        <f>Ergebniseingabe!AE77</f>
        <v>MVC´19 Team 1</v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  <v>1</v>
      </c>
      <c r="AZ78" s="506"/>
      <c r="BA78" s="507"/>
      <c r="BB78" s="526">
        <f>IF(Ergebniseingabe!BC77="","",Ergebniseingabe!BC77)</f>
        <v>0</v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0.7166666666666663</v>
      </c>
      <c r="E82" s="521"/>
      <c r="F82" s="521"/>
      <c r="G82" s="521"/>
      <c r="H82" s="533" t="str">
        <f>Ergebniseingabe!I81</f>
        <v>SV Walbeck 1</v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 t="str">
        <f>Ergebniseingabe!AE81</f>
        <v>GSV Geldern 1</v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  <v>3</v>
      </c>
      <c r="AZ82" s="506"/>
      <c r="BA82" s="507"/>
      <c r="BB82" s="526">
        <f>IF(Ergebniseingabe!BC81="","",Ergebniseingabe!BC81)</f>
        <v>0</v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0.7256944444444441</v>
      </c>
      <c r="E86" s="521"/>
      <c r="F86" s="521"/>
      <c r="G86" s="521"/>
      <c r="H86" s="533" t="str">
        <f>Ergebniseingabe!I85</f>
        <v>SV Straelen 1</v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 t="str">
        <f>Ergebniseingabe!AE85</f>
        <v>RW Geldern 1</v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  <v>1</v>
      </c>
      <c r="AZ86" s="506"/>
      <c r="BA86" s="507"/>
      <c r="BB86" s="526">
        <f>IF(Ergebniseingabe!BC85="","",Ergebniseingabe!BC85)</f>
        <v>0</v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0.7347222222222218</v>
      </c>
      <c r="E90" s="521"/>
      <c r="F90" s="521"/>
      <c r="G90" s="521"/>
      <c r="H90" s="533" t="str">
        <f>Ergebniseingabe!I89</f>
        <v>TSV Nieukerk 1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MVC´19 Team 1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  <v>1</v>
      </c>
      <c r="AZ90" s="506"/>
      <c r="BA90" s="507"/>
      <c r="BB90" s="526">
        <f>IF(Ergebniseingabe!BC89="","",Ergebniseingabe!BC89)</f>
        <v>0</v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0.7437499999999996</v>
      </c>
      <c r="E94" s="521"/>
      <c r="F94" s="521"/>
      <c r="G94" s="521"/>
      <c r="H94" s="533" t="str">
        <f>Ergebniseingabe!I93</f>
        <v>VfB Homberg 1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PSV Wesel-Lackhausen 1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  <v>0</v>
      </c>
      <c r="AZ94" s="506"/>
      <c r="BA94" s="507"/>
      <c r="BB94" s="526">
        <f>IF(Ergebniseingabe!BC93="","",Ergebniseingabe!BC93)</f>
        <v>2</v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PSV Wesel-Lackhausen 1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VfB Homberg 1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TSV Nieukerk 1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MVC´19 Team 1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SV Straelen 1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RW Geldern 1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SV Walbeck 1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GSV Geldern 1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76.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MVC´19 Team 1</v>
      </c>
      <c r="S4" s="163" t="str">
        <f>Q6</f>
        <v>SV Straelen 1</v>
      </c>
      <c r="T4" s="163" t="str">
        <f>Q7</f>
        <v>VfB Homberg 1</v>
      </c>
      <c r="U4" s="163" t="str">
        <f>Q8</f>
        <v>SV Walbeck 1</v>
      </c>
      <c r="V4" s="164"/>
      <c r="W4" s="162" t="s">
        <v>55</v>
      </c>
      <c r="X4" s="163" t="str">
        <f>W5</f>
        <v>MVC´19 Team 1</v>
      </c>
      <c r="Y4" s="163" t="str">
        <f>W6</f>
        <v>SV Straelen 1</v>
      </c>
      <c r="Z4" s="163" t="str">
        <f>W7</f>
        <v>VfB Homberg 1</v>
      </c>
      <c r="AA4" s="163" t="str">
        <f>W8</f>
        <v>SV Walbeck 1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2</v>
      </c>
      <c r="D5" s="151">
        <f>E5+ROW()/1000</f>
        <v>2.005</v>
      </c>
      <c r="E5" s="151">
        <f>RANK(K5,$K$5:$K$8)</f>
        <v>2</v>
      </c>
      <c r="F5" s="43" t="str">
        <f>VLOOKUP(B5,Ergebniseingabe!$C$19:$X$22,2,0)</f>
        <v>MVC´19 Team 1</v>
      </c>
      <c r="G5" s="39">
        <f>SUMPRODUCT((F5=Ergebniseingabe!$L$27:$AF$38)*(Ergebniseingabe!$BC$27:$BC$38))+SUMPRODUCT((F5=Ergebniseingabe!$AH$27:$BB$38)*(Ergebniseingabe!$BF$27:$BF$38))</f>
        <v>2</v>
      </c>
      <c r="H5" s="39">
        <f>SUMPRODUCT((F5=Ergebniseingabe!$L$27:$AF$38)*(Ergebniseingabe!$BF$27:$BF$38))+SUMPRODUCT((F5=Ergebniseingabe!$AH$27:$BB$38)*(Ergebniseingabe!$BC$27:$BC$38))</f>
        <v>1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5</v>
      </c>
      <c r="J5" s="40">
        <f>G5-H5</f>
        <v>1</v>
      </c>
      <c r="K5" s="190">
        <f>AC5+AI5+AO5</f>
        <v>501002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1</v>
      </c>
      <c r="N5" s="39">
        <f>SUMPRODUCT((Ergebniseingabe!$L$27:$BB$38=F5)*(Ergebniseingabe!$BC$27:$BC$38=Ergebniseingabe!$BF$27:$BF$38)*(Ergebniseingabe!$BC$27:$BC$38&lt;&gt;"")*(Ergebniseingabe!$BF$27:$BF$38&lt;&gt;""))</f>
        <v>2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MVC´19 Team 1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1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MVC´19 Team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3</v>
      </c>
      <c r="AA5" s="174">
        <f>IF(AND(ISNUMBER(U5),ISNUMBER(R8)),IF(U5&gt;R8,3,IF(U5=R8,1,0)),0)</f>
        <v>1</v>
      </c>
      <c r="AB5" s="164"/>
      <c r="AC5" s="175">
        <f>I5*100000+J5*1000+G5</f>
        <v>501002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1</v>
      </c>
      <c r="AM5" s="168">
        <f>J5-INDEX(R5:U5,1,AK4)-INDEX(R5:R8,AK4,1)-ABS(AS5)-ABS(AX5)</f>
        <v>0</v>
      </c>
      <c r="AN5" s="168">
        <f>G5-INDEX(R5:U5,1,$AK$4)-AT5-AY5</f>
        <v>0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1</v>
      </c>
      <c r="AU5" s="166"/>
      <c r="AV5" s="180"/>
      <c r="AW5" s="168">
        <f>IF(ISNA($AV$4),0,INDEX(X5:AA5,1,$AV$4))</f>
        <v>3</v>
      </c>
      <c r="AX5" s="168">
        <f>IF(ISNA($AV$4),0,(INDEX(R5:U5,1,AV4)-INDEX(R5:R8,AV4,1)))</f>
        <v>1</v>
      </c>
      <c r="AY5" s="168">
        <f>IF(ISNA($AV$4),0,INDEX(R5:U5,1,$AV$4))</f>
        <v>1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3</v>
      </c>
      <c r="D6" s="151">
        <f>E6+ROW()/1000</f>
        <v>3.006</v>
      </c>
      <c r="E6" s="151">
        <f>RANK(K6,$K$5:$K$8)</f>
        <v>3</v>
      </c>
      <c r="F6" s="43" t="str">
        <f>VLOOKUP(B6,Ergebniseingabe!$C$19:$X$22,2,0)</f>
        <v>SV Straelen 1</v>
      </c>
      <c r="G6" s="39">
        <f>SUMPRODUCT((F6=Ergebniseingabe!$L$27:$AF$38)*(Ergebniseingabe!$BC$27:$BC$38))+SUMPRODUCT((F6=Ergebniseingabe!$AH$27:$BB$38)*(Ergebniseingabe!$BF$27:$BF$38))</f>
        <v>2</v>
      </c>
      <c r="H6" s="39">
        <f>SUMPRODUCT((F6=Ergebniseingabe!$L$27:$AF$38)*(Ergebniseingabe!$BF$27:$BF$38))+SUMPRODUCT((F6=Ergebniseingabe!$AH$27:$BB$38)*(Ergebniseingabe!$BC$27:$BC$38))</f>
        <v>4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2</v>
      </c>
      <c r="J6" s="40">
        <f>G6-H6</f>
        <v>-2</v>
      </c>
      <c r="K6" s="190">
        <f>AC6+AI6+AO6</f>
        <v>198002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2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1</v>
      </c>
      <c r="Q6" s="172" t="str">
        <f>$F$6</f>
        <v>SV Straelen 1</v>
      </c>
      <c r="R6" s="174">
        <f>IF(AND(Q6&amp;$R$4=VLOOKUP(Q6&amp;$R$4,$D$23:$I$46,1,0),VLOOKUP(Q6&amp;$R$4,$D$23:$I$46,6,0)&lt;&gt;""),VLOOKUP(Q6&amp;$R$4,$D$23:$I$46,6,0),)</f>
        <v>1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</v>
      </c>
      <c r="V6" s="164"/>
      <c r="W6" s="181" t="str">
        <f>Q6</f>
        <v>SV Straelen 1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198002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0</v>
      </c>
      <c r="AM6" s="168">
        <f>J6-INDEX(R6:U6,1,AK4)-INDEX(S5:S8,AK4,1)-ABS(AS6)-ABS(AX6)</f>
        <v>-4</v>
      </c>
      <c r="AN6" s="168">
        <f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1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VfB Homberg 1</v>
      </c>
      <c r="G7" s="39">
        <f>SUMPRODUCT((F7=Ergebniseingabe!$L$27:$AF$38)*(Ergebniseingabe!$BC$27:$BC$38))+SUMPRODUCT((F7=Ergebniseingabe!$AH$27:$BB$38)*(Ergebniseingabe!$BF$27:$BF$38))</f>
        <v>4</v>
      </c>
      <c r="H7" s="39">
        <f>SUMPRODUCT((F7=Ergebniseingabe!$L$27:$AF$38)*(Ergebniseingabe!$BF$27:$BF$38))+SUMPRODUCT((F7=Ergebniseingabe!$AH$27:$BB$38)*(Ergebniseingabe!$BC$27:$BC$38))</f>
        <v>1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6</v>
      </c>
      <c r="J7" s="40">
        <f>G7-H7</f>
        <v>3</v>
      </c>
      <c r="K7" s="190">
        <f>AC7+AI7+AO7</f>
        <v>603004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1</v>
      </c>
      <c r="Q7" s="172" t="str">
        <f>$F$7</f>
        <v>VfB Homberg 1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2</v>
      </c>
      <c r="V7" s="164"/>
      <c r="W7" s="181" t="str">
        <f>Q7</f>
        <v>VfB Homberg 1</v>
      </c>
      <c r="X7" s="174">
        <f>IF(AND(ISNUMBER(R7),ISNUMBER(T5)),IF(R7&gt;T5,3,IF(R7=T5,1,0)),0)</f>
        <v>0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603004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5</v>
      </c>
      <c r="AM7" s="168">
        <f>J7-INDEX(R7:U7,1,AK4)-INDEX(T5:T8,AK4,1)-ABS(AS7)-ABS(AX7)</f>
        <v>2</v>
      </c>
      <c r="AN7" s="168">
        <f>G7-INDEX(R7:U7,1,$AK$4)-AT7-AY7</f>
        <v>4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SV Walbeck 1</v>
      </c>
      <c r="G8" s="39">
        <f>SUMPRODUCT((F8=Ergebniseingabe!$L$27:$AF$38)*(Ergebniseingabe!$BC$27:$BC$38))+SUMPRODUCT((F8=Ergebniseingabe!$AH$27:$BB$38)*(Ergebniseingabe!$BF$27:$BF$38))</f>
        <v>1</v>
      </c>
      <c r="H8" s="39">
        <f>SUMPRODUCT((F8=Ergebniseingabe!$L$27:$AF$38)*(Ergebniseingabe!$BF$27:$BF$38))+SUMPRODUCT((F8=Ergebniseingabe!$AH$27:$BB$38)*(Ergebniseingabe!$BC$27:$BC$38))</f>
        <v>3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2</v>
      </c>
      <c r="J8" s="40">
        <f>G8-H8</f>
        <v>-2</v>
      </c>
      <c r="K8" s="190">
        <f>AC8+AI8+AO8</f>
        <v>198001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2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84" t="str">
        <f>$F$8</f>
        <v>SV Walbeck 1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SV Walbeck 1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0</v>
      </c>
      <c r="AA8" s="173"/>
      <c r="AB8" s="164"/>
      <c r="AC8" s="175">
        <f>I8*100000+J8*1000+G8</f>
        <v>198001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-4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1</v>
      </c>
      <c r="AS8" s="168">
        <f>IF(ISNA($AQ$4),0,(INDEX(R8:U8,1,AQ4)-INDEX(U5:U8,AQ4,1)))</f>
        <v>0</v>
      </c>
      <c r="AT8" s="168">
        <f>IF(ISNA($AQ$4),0,INDEX(R8:U8,1,$AQ$4))</f>
        <v>1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-2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PSV Wesel-Lackhausen 1</v>
      </c>
      <c r="S13" s="163" t="str">
        <f>Q15</f>
        <v>TSV Nieukerk 1</v>
      </c>
      <c r="T13" s="163" t="str">
        <f>Q16</f>
        <v>RW Geldern 1</v>
      </c>
      <c r="U13" s="163" t="str">
        <f>Q17</f>
        <v>GSV Geldern 1</v>
      </c>
      <c r="V13" s="164"/>
      <c r="W13" s="162" t="s">
        <v>55</v>
      </c>
      <c r="X13" s="163" t="str">
        <f>W14</f>
        <v>PSV Wesel-Lackhausen 1</v>
      </c>
      <c r="Y13" s="163" t="str">
        <f>W15</f>
        <v>TSV Nieukerk 1</v>
      </c>
      <c r="Z13" s="163" t="str">
        <f>W16</f>
        <v>RW Geldern 1</v>
      </c>
      <c r="AA13" s="163" t="str">
        <f>W17</f>
        <v>GSV Geldern 1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PSV Wesel-Lackhausen 1</v>
      </c>
      <c r="G14" s="39">
        <f>SUMPRODUCT((F14=Ergebniseingabe!$L$27:$AF$38)*(Ergebniseingabe!$BC$27:$BC$38))+SUMPRODUCT((F14=Ergebniseingabe!$AH$27:$BB$38)*(Ergebniseingabe!$BF$27:$BF$38))</f>
        <v>3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7</v>
      </c>
      <c r="J14" s="40">
        <f>G14-H14</f>
        <v>3</v>
      </c>
      <c r="K14" s="190">
        <f>AC14+AI14+AO14</f>
        <v>703003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1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PSV Wesel-Lackhausen 1</v>
      </c>
      <c r="R14" s="173"/>
      <c r="S14" s="174">
        <f>IF(AND(Q14&amp;$S$13=VLOOKUP(Q14&amp;$S$13,$D$23:$I$46,1,0),VLOOKUP(Q14&amp;$S$13,$D$23:$I$46,6,0)&lt;&gt;""),VLOOKUP(Q14&amp;$S$13,$D$23:$I$46,6,0),)</f>
        <v>1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2</v>
      </c>
      <c r="V14" s="164"/>
      <c r="W14" s="172" t="str">
        <f>Q14</f>
        <v>PSV Wesel-Lackhausen 1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3</v>
      </c>
      <c r="AB14" s="164"/>
      <c r="AC14" s="175">
        <f>I14*100000+J14*1000+G14</f>
        <v>703003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2</v>
      </c>
      <c r="AN14" s="168">
        <f>G14-INDEX(R14:U14,1,$AK$13)-AT14-AY14</f>
        <v>2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3</v>
      </c>
      <c r="AS14" s="168">
        <f>IF(ISNA($AQ$13),0,(INDEX(R14:U14,1,$AQ$13)-INDEX(R14:R17,$AQ$13,1)))</f>
        <v>1</v>
      </c>
      <c r="AT14" s="168">
        <f>IF(ISNA($AQ$13),0,INDEX(R14:U14,1,$AQ$13))</f>
        <v>1</v>
      </c>
      <c r="AU14" s="166"/>
      <c r="AV14" s="180"/>
      <c r="AW14" s="168">
        <f>IF(ISNA($AV$13),0,INDEX(X14:AA14,1,$AV$13))</f>
        <v>1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2.015</v>
      </c>
      <c r="E15" s="151">
        <f>RANK(K15,$K$14:$K$17)</f>
        <v>2</v>
      </c>
      <c r="F15" s="43" t="str">
        <f>VLOOKUP(B15,Ergebniseingabe!$AB$19:$AW$22,2,0)</f>
        <v>TSV Nieukerk 1</v>
      </c>
      <c r="G15" s="39">
        <f>SUMPRODUCT((F15=Ergebniseingabe!$L$27:$AF$38)*(Ergebniseingabe!$BC$27:$BC$38))+SUMPRODUCT((F15=Ergebniseingabe!$AH$27:$BB$38)*(Ergebniseingabe!$BF$27:$BF$38))</f>
        <v>4</v>
      </c>
      <c r="H15" s="39">
        <f>SUMPRODUCT((F15=Ergebniseingabe!$L$27:$AF$38)*(Ergebniseingabe!$BF$27:$BF$38))+SUMPRODUCT((F15=Ergebniseingabe!$AH$27:$BB$38)*(Ergebniseingabe!$BC$27:$BC$38))</f>
        <v>1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6</v>
      </c>
      <c r="J15" s="40">
        <f>G15-H15</f>
        <v>3</v>
      </c>
      <c r="K15" s="190">
        <f>AC15+AI15+AO15</f>
        <v>603004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2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1</v>
      </c>
      <c r="Q15" s="172" t="str">
        <f>F15</f>
        <v>TSV Nieukerk 1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3</v>
      </c>
      <c r="V15" s="164"/>
      <c r="W15" s="181" t="str">
        <f>Q15</f>
        <v>TSV Nieukerk 1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603004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5</v>
      </c>
      <c r="AM15" s="168">
        <f>J15-INDEX(R15:U15,1,AK13)-INDEX(S14:S17,AK13,1)-ABS(AS15)-ABS(AX15)</f>
        <v>2</v>
      </c>
      <c r="AN15" s="168">
        <f>G15-INDEX(R15:U15,1,$AK$13)-AT15-AY15</f>
        <v>4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3.016</v>
      </c>
      <c r="E16" s="151">
        <f>RANK(K16,$K$14:$K$17)</f>
        <v>3</v>
      </c>
      <c r="F16" s="43" t="str">
        <f>VLOOKUP(B16,Ergebniseingabe!$AB$19:$AW$22,2,0)</f>
        <v>RW Geldern 1</v>
      </c>
      <c r="G16" s="39">
        <f>SUMPRODUCT((F16=Ergebniseingabe!$L$27:$AF$38)*(Ergebniseingabe!$BC$27:$BC$38))+SUMPRODUCT((F16=Ergebniseingabe!$AH$27:$BB$38)*(Ergebniseingabe!$BF$27:$BF$38))</f>
        <v>3</v>
      </c>
      <c r="H16" s="39">
        <f>SUMPRODUCT((F16=Ergebniseingabe!$L$27:$AF$38)*(Ergebniseingabe!$BF$27:$BF$38))+SUMPRODUCT((F16=Ergebniseingabe!$AH$27:$BB$38)*(Ergebniseingabe!$BC$27:$BC$38))</f>
        <v>1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4</v>
      </c>
      <c r="J16" s="40">
        <f>G16-H16</f>
        <v>2</v>
      </c>
      <c r="K16" s="190">
        <f>AC16+AI16+AO16</f>
        <v>402003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RW Geldern 1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3</v>
      </c>
      <c r="V16" s="164"/>
      <c r="W16" s="181" t="str">
        <f>Q16</f>
        <v>RW Geldern 1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3</v>
      </c>
      <c r="AB16" s="164"/>
      <c r="AC16" s="175">
        <f>I16*100000+J16*1000+G16</f>
        <v>402003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2</v>
      </c>
      <c r="AM16" s="168">
        <f>J16-INDEX(R16:U16,1,AK13)-INDEX(T14:T17,AK13,1)-ABS(AS16)-ABS(AX16)</f>
        <v>2</v>
      </c>
      <c r="AN16" s="168">
        <f>G16-INDEX(R16:U16,1,$AK$13)-AT16-AY16</f>
        <v>3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4.017</v>
      </c>
      <c r="E17" s="151">
        <f>RANK(K17,$K$14:$K$17)</f>
        <v>4</v>
      </c>
      <c r="F17" s="43" t="str">
        <f>VLOOKUP(B17,Ergebniseingabe!$AB$19:$AW$22,2,0)</f>
        <v>GSV Geldern 1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8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-8</v>
      </c>
      <c r="K17" s="190">
        <f>AC17+AI17+AO17</f>
        <v>-8000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3</v>
      </c>
      <c r="Q17" s="172" t="str">
        <f>F17</f>
        <v>GSV Geldern 1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GSV Geldern 1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0</v>
      </c>
      <c r="AA17" s="173"/>
      <c r="AB17" s="164"/>
      <c r="AC17" s="175">
        <f>I17*100000+J17*1000+G17</f>
        <v>-8000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-16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-3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-3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MVC´19 Team 1SV Straelen 1</v>
      </c>
      <c r="E23" s="36" t="str">
        <f>F5</f>
        <v>MVC´19 Team 1</v>
      </c>
      <c r="F23" s="36" t="str">
        <f>F6</f>
        <v>SV Straelen 1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1:1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MVC´19 Team 1VfB Homberg 1</v>
      </c>
      <c r="E24" s="36" t="str">
        <f>F5</f>
        <v>MVC´19 Team 1</v>
      </c>
      <c r="F24" s="36" t="str">
        <f>F7</f>
        <v>VfB Homberg 1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1:0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MVC´19 Team 1SV Walbeck 1</v>
      </c>
      <c r="E25" s="36" t="str">
        <f>F5</f>
        <v>MVC´19 Team 1</v>
      </c>
      <c r="F25" s="36" t="str">
        <f>F8</f>
        <v>SV Walbeck 1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0:0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0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SV Straelen 1VfB Homberg 1</v>
      </c>
      <c r="E26" s="36" t="str">
        <f>F6</f>
        <v>SV Straelen 1</v>
      </c>
      <c r="F26" s="36" t="str">
        <f>F7</f>
        <v>VfB Homberg 1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0:2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SV Straelen 1SV Walbeck 1</v>
      </c>
      <c r="E27" s="36" t="str">
        <f>F6</f>
        <v>SV Straelen 1</v>
      </c>
      <c r="F27" s="36" t="str">
        <f>F8</f>
        <v>SV Walbeck 1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1:1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VfB Homberg 1SV Walbeck 1</v>
      </c>
      <c r="E28" s="36" t="str">
        <f>F7</f>
        <v>VfB Homberg 1</v>
      </c>
      <c r="F28" s="36" t="str">
        <f>F8</f>
        <v>SV Walbeck 1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2:0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SV Straelen 1MVC´19 Team 1</v>
      </c>
      <c r="E29" s="36" t="str">
        <f aca="true" t="shared" si="1" ref="E29:E34">F23</f>
        <v>SV Straelen 1</v>
      </c>
      <c r="F29" s="36" t="str">
        <f aca="true" t="shared" si="2" ref="F29:F34">E23</f>
        <v>MVC´19 Team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1:1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1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VfB Homberg 1MVC´19 Team 1</v>
      </c>
      <c r="E30" s="36" t="str">
        <f t="shared" si="1"/>
        <v>VfB Homberg 1</v>
      </c>
      <c r="F30" s="36" t="str">
        <f t="shared" si="2"/>
        <v>MVC´19 Team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0:1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SV Walbeck 1MVC´19 Team 1</v>
      </c>
      <c r="E31" s="36" t="str">
        <f t="shared" si="1"/>
        <v>SV Walbeck 1</v>
      </c>
      <c r="F31" s="36" t="str">
        <f t="shared" si="2"/>
        <v>MVC´19 Team 1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0:0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VfB Homberg 1SV Straelen 1</v>
      </c>
      <c r="E32" s="36" t="str">
        <f t="shared" si="1"/>
        <v>VfB Homberg 1</v>
      </c>
      <c r="F32" s="36" t="str">
        <f t="shared" si="2"/>
        <v>SV Straelen 1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2:0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SV Walbeck 1SV Straelen 1</v>
      </c>
      <c r="E33" s="36" t="str">
        <f t="shared" si="1"/>
        <v>SV Walbeck 1</v>
      </c>
      <c r="F33" s="36" t="str">
        <f t="shared" si="2"/>
        <v>SV Straelen 1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SV Walbeck 1VfB Homberg 1</v>
      </c>
      <c r="E34" s="36" t="str">
        <f t="shared" si="1"/>
        <v>SV Walbeck 1</v>
      </c>
      <c r="F34" s="36" t="str">
        <f t="shared" si="2"/>
        <v>VfB Homberg 1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0:2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PSV Wesel-Lackhausen 1TSV Nieukerk 1</v>
      </c>
      <c r="E35" s="36" t="str">
        <f>F14</f>
        <v>PSV Wesel-Lackhausen 1</v>
      </c>
      <c r="F35" s="36" t="str">
        <f>F15</f>
        <v>TSV Nieukerk 1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1:0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1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PSV Wesel-Lackhausen 1RW Geldern 1</v>
      </c>
      <c r="E36" s="36" t="str">
        <f>F14</f>
        <v>PSV Wesel-Lackhausen 1</v>
      </c>
      <c r="F36" s="36" t="str">
        <f>F16</f>
        <v>RW Geldern 1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0:0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0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PSV Wesel-Lackhausen 1GSV Geldern 1</v>
      </c>
      <c r="E37" s="36" t="str">
        <f>F14</f>
        <v>PSV Wesel-Lackhausen 1</v>
      </c>
      <c r="F37" s="36" t="str">
        <f>F17</f>
        <v>GSV Geldern 1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2:0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2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TSV Nieukerk 1RW Geldern 1</v>
      </c>
      <c r="E38" s="36" t="str">
        <f>F15</f>
        <v>TSV Nieukerk 1</v>
      </c>
      <c r="F38" s="36" t="str">
        <f>F16</f>
        <v>RW Geldern 1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1:0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TSV Nieukerk 1GSV Geldern 1</v>
      </c>
      <c r="E39" s="36" t="str">
        <f>F15</f>
        <v>TSV Nieukerk 1</v>
      </c>
      <c r="F39" s="36" t="str">
        <f>F17</f>
        <v>GSV Geldern 1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3:0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3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RW Geldern 1GSV Geldern 1</v>
      </c>
      <c r="E40" s="36" t="str">
        <f>F16</f>
        <v>RW Geldern 1</v>
      </c>
      <c r="F40" s="36" t="str">
        <f>F17</f>
        <v>GSV Geldern 1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3:0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3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TSV Nieukerk 1PSV Wesel-Lackhausen 1</v>
      </c>
      <c r="E41" s="36" t="str">
        <f aca="true" t="shared" si="3" ref="E41:E46">F35</f>
        <v>TSV Nieukerk 1</v>
      </c>
      <c r="F41" s="36" t="str">
        <f aca="true" t="shared" si="4" ref="F41:F46">E35</f>
        <v>PSV Wesel-Lackhausen 1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0:1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RW Geldern 1PSV Wesel-Lackhausen 1</v>
      </c>
      <c r="E42" s="36" t="str">
        <f t="shared" si="3"/>
        <v>RW Geldern 1</v>
      </c>
      <c r="F42" s="36" t="str">
        <f t="shared" si="4"/>
        <v>PSV Wesel-Lackhausen 1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0:0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GSV Geldern 1PSV Wesel-Lackhausen 1</v>
      </c>
      <c r="E43" s="36" t="str">
        <f t="shared" si="3"/>
        <v>GSV Geldern 1</v>
      </c>
      <c r="F43" s="36" t="str">
        <f t="shared" si="4"/>
        <v>PSV Wesel-Lackhausen 1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0:2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RW Geldern 1TSV Nieukerk 1</v>
      </c>
      <c r="E44" s="36" t="str">
        <f t="shared" si="3"/>
        <v>RW Geldern 1</v>
      </c>
      <c r="F44" s="36" t="str">
        <f t="shared" si="4"/>
        <v>TSV Nieukerk 1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0:1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GSV Geldern 1TSV Nieukerk 1</v>
      </c>
      <c r="E45" s="36" t="str">
        <f t="shared" si="3"/>
        <v>GSV Geldern 1</v>
      </c>
      <c r="F45" s="36" t="str">
        <f t="shared" si="4"/>
        <v>TSV Nieukerk 1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0:3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GSV Geldern 1RW Geldern 1</v>
      </c>
      <c r="E46" s="36" t="str">
        <f t="shared" si="3"/>
        <v>GSV Geldern 1</v>
      </c>
      <c r="F46" s="36" t="str">
        <f t="shared" si="4"/>
        <v>RW Geldern 1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0:3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Klaus</cp:lastModifiedBy>
  <cp:lastPrinted>2017-05-27T15:29:15Z</cp:lastPrinted>
  <dcterms:created xsi:type="dcterms:W3CDTF">2010-02-21T20:13:34Z</dcterms:created>
  <dcterms:modified xsi:type="dcterms:W3CDTF">2017-05-27T15:30:01Z</dcterms:modified>
  <cp:category/>
  <cp:version/>
  <cp:contentType/>
  <cp:contentStatus/>
</cp:coreProperties>
</file>