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<sst xmlns="http://schemas.openxmlformats.org/spreadsheetml/2006/main" count="295" uniqueCount="90">
  <si>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</si>
  <si>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</si>
  <si>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</si>
  <si>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</si>
  <si>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</si>
  <si>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</si>
  <si>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</si>
  <si>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</si>
  <si>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</si>
  <si>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</si>
  <si>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</si>
  <si>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</si>
  <si>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</si>
  <si>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</si>
  <si>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</si>
  <si>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</si>
  <si>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</si>
  <si>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</si>
  <si>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</si>
  <si>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</si>
  <si>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</si>
  <si>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</si>
  <si>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</si>
  <si>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</si>
  <si>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</si>
  <si>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</si>
  <si>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</si>
  <si>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</si>
  <si>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</si>
  <si>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</si>
  <si>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</si>
  <si>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</si>
  <si>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</si>
  <si>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</si>
  <si>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</si>
  <si>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</si>
  <si>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</si>
  <si>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</si>
  <si>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</si>
  <si>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</si>
  <si>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</si>
  <si>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</si>
  <si>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</si>
  <si>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</si>
  <si>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</si>
  <si>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</si>
  <si>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</si>
  <si>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</si>
  <si>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</si>
  <si>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</si>
  <si>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</si>
  <si>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</si>
  <si>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</si>
  <si>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</si>
  <si>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</si>
  <si>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</si>
  <si>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</si>
  <si>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</si>
  <si>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</si>
  <si>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</si>
  <si>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</si>
  <si>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</si>
  <si>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</si>
  <si>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</si>
  <si>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</si>
  <si>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</si>
  <si>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</si>
  <si>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</si>
  <si>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</si>
  <si>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</si>
  <si>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</si>
  <si>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</si>
  <si>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</si>
  <si>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</si>
  <si>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s</t>
  </si>
  <si>
    <t>Gleichstand liegt vor</t>
  </si>
  <si>
    <t>Tore +</t>
  </si>
  <si>
    <t>Tabellen Vorrunde</t>
  </si>
  <si>
    <t>SV Grün Weiß Vernum 1949 e.V.</t>
  </si>
  <si>
    <t>Gerhard-Waerdt Sportanlage, Vernumer Str. 157, 47608 Geldern/Vernum</t>
  </si>
  <si>
    <t>22. GWV Jugendturnier 2017</t>
  </si>
  <si>
    <t>C - Junioren</t>
  </si>
  <si>
    <t>VfR 08 Oberhausen 1</t>
  </si>
  <si>
    <t>VfR 08 Oberhausen 2</t>
  </si>
  <si>
    <t>FC Tannenhof 2</t>
  </si>
  <si>
    <t>FC Tannenhof 1</t>
  </si>
  <si>
    <t>GW Vernum 2</t>
  </si>
  <si>
    <t>GW Vernum 1</t>
  </si>
  <si>
    <t>SC Auwel-Holt</t>
  </si>
  <si>
    <t>GW Vernum 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</si>
</sst>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4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9"/>
      <name val="Arial"/>
      <family val="0"/>
    </font>
    <font>
      <b/>
      <sz val="11"/>
      <color indexed="8"/>
      <name val="Arial"/>
      <family val="0"/>
    </font>
    <font>
      <b/>
      <u val="single"/>
      <sz val="11"/>
      <name val="Arial"/>
      <family val="0"/>
    </font>
    <font>
      <sz val="11"/>
      <color indexed="23"/>
      <name val="Arial"/>
      <family val="0"/>
    </font>
    <font>
      <sz val="11"/>
      <color indexed="63"/>
      <name val="Arial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0"/>
    </font>
    <font>
      <sz val="12"/>
      <color indexed="23"/>
      <name val="Arial"/>
      <family val="0"/>
    </font>
    <font>
      <b/>
      <sz val="12"/>
      <color indexed="8"/>
      <name val="Arial"/>
      <family val="2"/>
    </font>
    <font>
      <sz val="12"/>
      <color indexed="63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84" fontId="14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182" fontId="16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8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left" vertical="center" shrinkToFit="1"/>
      <protection hidden="1"/>
    </xf>
    <xf numFmtId="0" fontId="11" fillId="0" borderId="0" xfId="0" applyFont="1" applyBorder="1" applyAlignment="1" applyProtection="1">
      <alignment horizontal="center" vertical="center" shrinkToFit="1"/>
      <protection hidden="1"/>
    </xf>
    <xf numFmtId="1" fontId="11" fillId="0" borderId="0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184" fontId="10" fillId="0" borderId="0" xfId="0" applyNumberFormat="1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182" fontId="34" fillId="0" borderId="0" xfId="0" applyNumberFormat="1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174" fontId="10" fillId="0" borderId="0" xfId="0" applyNumberFormat="1" applyFont="1" applyFill="1" applyBorder="1" applyAlignment="1" applyProtection="1">
      <alignment horizontal="center" vertical="center"/>
      <protection hidden="1"/>
    </xf>
    <xf numFmtId="179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0" fontId="17" fillId="0" borderId="0" xfId="0" applyNumberFormat="1" applyFont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8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1" fontId="17" fillId="0" borderId="0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4" fontId="14" fillId="0" borderId="0" xfId="0" applyNumberFormat="1" applyFont="1" applyFill="1" applyBorder="1" applyAlignment="1" applyProtection="1">
      <alignment horizontal="center" vertical="center"/>
      <protection hidden="1"/>
    </xf>
    <xf numFmtId="179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vertical="center"/>
      <protection hidden="1"/>
    </xf>
    <xf numFmtId="0" fontId="35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justify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6" fillId="0" borderId="0" xfId="0" applyNumberFormat="1" applyFont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3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22" xfId="0" applyFont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24" xfId="0" applyFont="1" applyBorder="1" applyAlignment="1" applyProtection="1">
      <alignment horizontal="left" vertical="center" shrinkToFit="1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6" xfId="0" applyFont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locked="0"/>
    </xf>
    <xf numFmtId="185" fontId="14" fillId="0" borderId="0" xfId="0" applyNumberFormat="1" applyFont="1" applyBorder="1" applyAlignment="1" applyProtection="1">
      <alignment horizontal="left" vertical="center"/>
      <protection locked="0"/>
    </xf>
    <xf numFmtId="20" fontId="14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4" fillId="32" borderId="27" xfId="0" applyFont="1" applyFill="1" applyBorder="1" applyAlignment="1" applyProtection="1">
      <alignment horizontal="center" vertical="center"/>
      <protection hidden="1"/>
    </xf>
    <xf numFmtId="0" fontId="14" fillId="32" borderId="28" xfId="0" applyFont="1" applyFill="1" applyBorder="1" applyAlignment="1" applyProtection="1">
      <alignment horizontal="center" vertical="center"/>
      <protection hidden="1"/>
    </xf>
    <xf numFmtId="0" fontId="14" fillId="32" borderId="29" xfId="0" applyFont="1" applyFill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Fill="1" applyBorder="1" applyAlignment="1" applyProtection="1">
      <alignment horizontal="center" vertical="center" shrinkToFit="1"/>
      <protection hidden="1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17" fillId="0" borderId="26" xfId="0" applyFont="1" applyFill="1" applyBorder="1" applyAlignment="1" applyProtection="1">
      <alignment horizontal="center" vertical="center" shrinkToFit="1"/>
      <protection locked="0"/>
    </xf>
    <xf numFmtId="179" fontId="17" fillId="0" borderId="30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3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4" fillId="32" borderId="32" xfId="0" applyFont="1" applyFill="1" applyBorder="1" applyAlignment="1" applyProtection="1">
      <alignment horizontal="center" vertical="center"/>
      <protection hidden="1"/>
    </xf>
    <xf numFmtId="0" fontId="14" fillId="32" borderId="33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28" xfId="0" applyFont="1" applyFill="1" applyBorder="1" applyAlignment="1" applyProtection="1">
      <alignment horizontal="center" vertical="center" shrinkToFit="1"/>
      <protection hidden="1"/>
    </xf>
    <xf numFmtId="0" fontId="14" fillId="35" borderId="29" xfId="0" applyFont="1" applyFill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0" fontId="17" fillId="0" borderId="35" xfId="0" applyFont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left" vertical="center" shrinkToFit="1"/>
      <protection hidden="1"/>
    </xf>
    <xf numFmtId="0" fontId="17" fillId="0" borderId="37" xfId="0" applyFont="1" applyBorder="1" applyAlignment="1" applyProtection="1">
      <alignment horizontal="left" vertical="center" shrinkToFit="1"/>
      <protection hidden="1"/>
    </xf>
    <xf numFmtId="0" fontId="17" fillId="0" borderId="38" xfId="0" applyFont="1" applyBorder="1" applyAlignment="1" applyProtection="1">
      <alignment horizontal="left" vertical="center" shrinkToFit="1"/>
      <protection hidden="1"/>
    </xf>
    <xf numFmtId="0" fontId="17" fillId="0" borderId="39" xfId="0" applyFont="1" applyBorder="1" applyAlignment="1" applyProtection="1">
      <alignment horizontal="left" vertical="center" shrinkToFit="1"/>
      <protection hidden="1"/>
    </xf>
    <xf numFmtId="178" fontId="17" fillId="0" borderId="23" xfId="0" applyNumberFormat="1" applyFont="1" applyBorder="1" applyAlignment="1" applyProtection="1">
      <alignment horizontal="center" vertical="center" shrinkToFit="1"/>
      <protection hidden="1"/>
    </xf>
    <xf numFmtId="178" fontId="17" fillId="0" borderId="11" xfId="0" applyNumberFormat="1" applyFont="1" applyBorder="1" applyAlignment="1" applyProtection="1">
      <alignment horizontal="center" vertical="center" shrinkToFit="1"/>
      <protection hidden="1"/>
    </xf>
    <xf numFmtId="0" fontId="14" fillId="35" borderId="40" xfId="0" applyFont="1" applyFill="1" applyBorder="1" applyAlignment="1" applyProtection="1">
      <alignment horizontal="center" textRotation="90"/>
      <protection hidden="1"/>
    </xf>
    <xf numFmtId="0" fontId="14" fillId="35" borderId="41" xfId="0" applyFont="1" applyFill="1" applyBorder="1" applyAlignment="1" applyProtection="1">
      <alignment horizontal="center" textRotation="90"/>
      <protection hidden="1"/>
    </xf>
    <xf numFmtId="0" fontId="14" fillId="35" borderId="42" xfId="0" applyFont="1" applyFill="1" applyBorder="1" applyAlignment="1" applyProtection="1">
      <alignment horizontal="center" textRotation="90"/>
      <protection hidden="1"/>
    </xf>
    <xf numFmtId="0" fontId="14" fillId="35" borderId="10" xfId="0" applyFont="1" applyFill="1" applyBorder="1" applyAlignment="1" applyProtection="1">
      <alignment horizontal="center" textRotation="90"/>
      <protection hidden="1"/>
    </xf>
    <xf numFmtId="0" fontId="14" fillId="35" borderId="0" xfId="0" applyFont="1" applyFill="1" applyBorder="1" applyAlignment="1" applyProtection="1">
      <alignment horizontal="center" textRotation="90"/>
      <protection hidden="1"/>
    </xf>
    <xf numFmtId="0" fontId="14" fillId="35" borderId="43" xfId="0" applyFont="1" applyFill="1" applyBorder="1" applyAlignment="1" applyProtection="1">
      <alignment horizontal="center" textRotation="90"/>
      <protection hidden="1"/>
    </xf>
    <xf numFmtId="0" fontId="14" fillId="35" borderId="44" xfId="0" applyFont="1" applyFill="1" applyBorder="1" applyAlignment="1" applyProtection="1">
      <alignment horizontal="center" textRotation="90"/>
      <protection hidden="1"/>
    </xf>
    <xf numFmtId="0" fontId="14" fillId="35" borderId="14" xfId="0" applyFont="1" applyFill="1" applyBorder="1" applyAlignment="1" applyProtection="1">
      <alignment horizontal="center" textRotation="90"/>
      <protection hidden="1"/>
    </xf>
    <xf numFmtId="0" fontId="14" fillId="35" borderId="45" xfId="0" applyFont="1" applyFill="1" applyBorder="1" applyAlignment="1" applyProtection="1">
      <alignment horizontal="center" textRotation="90"/>
      <protection hidden="1"/>
    </xf>
    <xf numFmtId="0" fontId="14" fillId="36" borderId="46" xfId="0" applyFont="1" applyFill="1" applyBorder="1" applyAlignment="1" applyProtection="1">
      <alignment horizontal="center" textRotation="90" shrinkToFit="1"/>
      <protection hidden="1"/>
    </xf>
    <xf numFmtId="0" fontId="14" fillId="36" borderId="47" xfId="0" applyFont="1" applyFill="1" applyBorder="1" applyAlignment="1" applyProtection="1">
      <alignment horizontal="center" textRotation="90" shrinkToFit="1"/>
      <protection hidden="1"/>
    </xf>
    <xf numFmtId="0" fontId="14" fillId="36" borderId="17" xfId="0" applyFont="1" applyFill="1" applyBorder="1" applyAlignment="1" applyProtection="1">
      <alignment horizontal="center" textRotation="90" shrinkToFit="1"/>
      <protection hidden="1"/>
    </xf>
    <xf numFmtId="0" fontId="14" fillId="36" borderId="48" xfId="0" applyFont="1" applyFill="1" applyBorder="1" applyAlignment="1" applyProtection="1">
      <alignment horizontal="center" textRotation="90" shrinkToFit="1"/>
      <protection hidden="1"/>
    </xf>
    <xf numFmtId="0" fontId="14" fillId="36" borderId="49" xfId="0" applyFont="1" applyFill="1" applyBorder="1" applyAlignment="1" applyProtection="1">
      <alignment horizontal="center" textRotation="90" shrinkToFit="1"/>
      <protection hidden="1"/>
    </xf>
    <xf numFmtId="0" fontId="14" fillId="36" borderId="50" xfId="0" applyFont="1" applyFill="1" applyBorder="1" applyAlignment="1" applyProtection="1">
      <alignment horizontal="center" textRotation="90" shrinkToFit="1"/>
      <protection hidden="1"/>
    </xf>
    <xf numFmtId="0" fontId="14" fillId="35" borderId="51" xfId="0" applyFont="1" applyFill="1" applyBorder="1" applyAlignment="1" applyProtection="1">
      <alignment horizontal="center" textRotation="90"/>
      <protection hidden="1"/>
    </xf>
    <xf numFmtId="0" fontId="14" fillId="35" borderId="52" xfId="0" applyFont="1" applyFill="1" applyBorder="1" applyAlignment="1" applyProtection="1">
      <alignment horizontal="center" textRotation="90"/>
      <protection hidden="1"/>
    </xf>
    <xf numFmtId="0" fontId="14" fillId="35" borderId="53" xfId="0" applyFont="1" applyFill="1" applyBorder="1" applyAlignment="1" applyProtection="1">
      <alignment horizontal="center" textRotation="90"/>
      <protection hidden="1"/>
    </xf>
    <xf numFmtId="0" fontId="14" fillId="35" borderId="54" xfId="0" applyFont="1" applyFill="1" applyBorder="1" applyAlignment="1" applyProtection="1">
      <alignment horizontal="center" textRotation="90"/>
      <protection hidden="1"/>
    </xf>
    <xf numFmtId="0" fontId="14" fillId="35" borderId="55" xfId="0" applyFont="1" applyFill="1" applyBorder="1" applyAlignment="1" applyProtection="1">
      <alignment horizontal="center" textRotation="90"/>
      <protection hidden="1"/>
    </xf>
    <xf numFmtId="0" fontId="14" fillId="35" borderId="56" xfId="0" applyFont="1" applyFill="1" applyBorder="1" applyAlignment="1" applyProtection="1">
      <alignment horizontal="center" textRotation="90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15" xfId="0" applyFont="1" applyBorder="1" applyAlignment="1" applyProtection="1">
      <alignment horizontal="center" vertical="center" shrinkToFit="1"/>
      <protection hidden="1"/>
    </xf>
    <xf numFmtId="0" fontId="17" fillId="34" borderId="15" xfId="0" applyFont="1" applyFill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0" fontId="17" fillId="34" borderId="34" xfId="0" applyFont="1" applyFill="1" applyBorder="1" applyAlignment="1" applyProtection="1">
      <alignment horizontal="center" vertical="center" shrinkToFit="1"/>
      <protection hidden="1"/>
    </xf>
    <xf numFmtId="0" fontId="17" fillId="34" borderId="35" xfId="0" applyFont="1" applyFill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0" borderId="39" xfId="0" applyFont="1" applyBorder="1" applyAlignment="1" applyProtection="1">
      <alignment horizontal="center" vertical="center" shrinkToFit="1"/>
      <protection hidden="1"/>
    </xf>
    <xf numFmtId="0" fontId="17" fillId="0" borderId="58" xfId="0" applyFont="1" applyBorder="1" applyAlignment="1" applyProtection="1">
      <alignment horizontal="center" vertical="center" shrinkToFit="1"/>
      <protection hidden="1"/>
    </xf>
    <xf numFmtId="0" fontId="17" fillId="0" borderId="59" xfId="0" applyFont="1" applyBorder="1" applyAlignment="1" applyProtection="1">
      <alignment horizontal="center" vertical="center" shrinkToFit="1"/>
      <protection hidden="1"/>
    </xf>
    <xf numFmtId="0" fontId="17" fillId="34" borderId="39" xfId="0" applyFont="1" applyFill="1" applyBorder="1" applyAlignment="1" applyProtection="1">
      <alignment horizontal="center" vertical="center" shrinkToFit="1"/>
      <protection hidden="1"/>
    </xf>
    <xf numFmtId="0" fontId="17" fillId="34" borderId="60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61" xfId="0" applyFont="1" applyBorder="1" applyAlignment="1" applyProtection="1">
      <alignment horizontal="center" vertical="center" shrinkToFit="1"/>
      <protection hidden="1"/>
    </xf>
    <xf numFmtId="0" fontId="14" fillId="36" borderId="62" xfId="0" applyFont="1" applyFill="1" applyBorder="1" applyAlignment="1" applyProtection="1">
      <alignment horizontal="center" textRotation="90" shrinkToFit="1"/>
      <protection hidden="1"/>
    </xf>
    <xf numFmtId="0" fontId="14" fillId="36" borderId="63" xfId="0" applyFont="1" applyFill="1" applyBorder="1" applyAlignment="1" applyProtection="1">
      <alignment horizontal="center" textRotation="90" shrinkToFit="1"/>
      <protection hidden="1"/>
    </xf>
    <xf numFmtId="0" fontId="14" fillId="36" borderId="64" xfId="0" applyFont="1" applyFill="1" applyBorder="1" applyAlignment="1" applyProtection="1">
      <alignment horizontal="center" textRotation="90" shrinkToFit="1"/>
      <protection hidden="1"/>
    </xf>
    <xf numFmtId="0" fontId="1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84" fontId="14" fillId="0" borderId="0" xfId="0" applyNumberFormat="1" applyFont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6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66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0" fontId="17" fillId="0" borderId="61" xfId="0" applyFont="1" applyFill="1" applyBorder="1" applyAlignment="1" applyProtection="1">
      <alignment horizontal="center" vertical="center" shrinkToFit="1"/>
      <protection hidden="1"/>
    </xf>
    <xf numFmtId="0" fontId="17" fillId="0" borderId="57" xfId="0" applyFont="1" applyFill="1" applyBorder="1" applyAlignment="1" applyProtection="1">
      <alignment horizontal="center" vertical="center" shrinkToFit="1"/>
      <protection hidden="1"/>
    </xf>
    <xf numFmtId="0" fontId="17" fillId="0" borderId="60" xfId="0" applyFont="1" applyFill="1" applyBorder="1" applyAlignment="1" applyProtection="1">
      <alignment horizontal="center" vertical="center" shrinkToFit="1"/>
      <protection hidden="1"/>
    </xf>
    <xf numFmtId="0" fontId="17" fillId="0" borderId="58" xfId="0" applyFont="1" applyFill="1" applyBorder="1" applyAlignment="1" applyProtection="1">
      <alignment horizontal="center" vertical="center" shrinkToFit="1"/>
      <protection hidden="1"/>
    </xf>
    <xf numFmtId="0" fontId="17" fillId="0" borderId="67" xfId="0" applyFont="1" applyFill="1" applyBorder="1" applyAlignment="1" applyProtection="1">
      <alignment horizontal="center" vertical="center" shrinkToFit="1"/>
      <protection hidden="1"/>
    </xf>
    <xf numFmtId="0" fontId="17" fillId="0" borderId="18" xfId="0" applyFont="1" applyFill="1" applyBorder="1" applyAlignment="1" applyProtection="1">
      <alignment horizontal="center" vertical="center" shrinkToFit="1"/>
      <protection hidden="1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/>
      <protection hidden="1"/>
    </xf>
    <xf numFmtId="0" fontId="23" fillId="0" borderId="69" xfId="0" applyFont="1" applyBorder="1" applyAlignment="1" applyProtection="1">
      <alignment horizontal="center" vertical="center"/>
      <protection hidden="1"/>
    </xf>
    <xf numFmtId="0" fontId="23" fillId="0" borderId="70" xfId="0" applyFont="1" applyBorder="1" applyAlignment="1" applyProtection="1">
      <alignment horizontal="center" vertical="center"/>
      <protection hidden="1"/>
    </xf>
    <xf numFmtId="0" fontId="23" fillId="0" borderId="71" xfId="0" applyFont="1" applyBorder="1" applyAlignment="1" applyProtection="1">
      <alignment horizontal="center" vertical="center"/>
      <protection hidden="1"/>
    </xf>
    <xf numFmtId="0" fontId="23" fillId="0" borderId="72" xfId="0" applyFont="1" applyBorder="1" applyAlignment="1" applyProtection="1">
      <alignment horizontal="center" vertical="center"/>
      <protection hidden="1"/>
    </xf>
    <xf numFmtId="0" fontId="23" fillId="0" borderId="73" xfId="0" applyFont="1" applyBorder="1" applyAlignment="1" applyProtection="1">
      <alignment horizontal="center" vertical="center"/>
      <protection hidden="1"/>
    </xf>
    <xf numFmtId="0" fontId="14" fillId="34" borderId="33" xfId="0" applyFont="1" applyFill="1" applyBorder="1" applyAlignment="1" applyProtection="1">
      <alignment horizontal="center" vertical="center"/>
      <protection hidden="1"/>
    </xf>
    <xf numFmtId="0" fontId="14" fillId="34" borderId="28" xfId="0" applyFont="1" applyFill="1" applyBorder="1" applyAlignment="1" applyProtection="1">
      <alignment horizontal="center" vertical="center"/>
      <protection hidden="1"/>
    </xf>
    <xf numFmtId="179" fontId="17" fillId="0" borderId="51" xfId="0" applyNumberFormat="1" applyFont="1" applyFill="1" applyBorder="1" applyAlignment="1" applyProtection="1">
      <alignment horizontal="right" vertical="center" shrinkToFit="1"/>
      <protection locked="0"/>
    </xf>
    <xf numFmtId="179" fontId="17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74" xfId="0" applyFont="1" applyFill="1" applyBorder="1" applyAlignment="1" applyProtection="1">
      <alignment horizontal="left" vertical="center" shrinkToFit="1"/>
      <protection hidden="1"/>
    </xf>
    <xf numFmtId="0" fontId="14" fillId="37" borderId="32" xfId="0" applyFont="1" applyFill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left" vertical="center" shrinkToFit="1"/>
      <protection hidden="1"/>
    </xf>
    <xf numFmtId="0" fontId="14" fillId="0" borderId="62" xfId="0" applyFont="1" applyFill="1" applyBorder="1" applyAlignment="1" applyProtection="1">
      <alignment horizontal="center" vertical="center"/>
      <protection hidden="1"/>
    </xf>
    <xf numFmtId="0" fontId="14" fillId="0" borderId="46" xfId="0" applyFont="1" applyFill="1" applyBorder="1" applyAlignment="1" applyProtection="1">
      <alignment horizontal="center" vertical="center"/>
      <protection hidden="1"/>
    </xf>
    <xf numFmtId="0" fontId="14" fillId="0" borderId="64" xfId="0" applyFont="1" applyFill="1" applyBorder="1" applyAlignment="1" applyProtection="1">
      <alignment horizontal="center" vertical="center"/>
      <protection hidden="1"/>
    </xf>
    <xf numFmtId="0" fontId="14" fillId="0" borderId="49" xfId="0" applyFont="1" applyFill="1" applyBorder="1" applyAlignment="1" applyProtection="1">
      <alignment horizontal="center" vertical="center"/>
      <protection hidden="1"/>
    </xf>
    <xf numFmtId="0" fontId="14" fillId="38" borderId="76" xfId="0" applyFont="1" applyFill="1" applyBorder="1" applyAlignment="1" applyProtection="1">
      <alignment horizontal="center" vertical="center"/>
      <protection hidden="1"/>
    </xf>
    <xf numFmtId="0" fontId="14" fillId="38" borderId="32" xfId="0" applyFont="1" applyFill="1" applyBorder="1" applyAlignment="1" applyProtection="1">
      <alignment horizontal="center" vertical="center"/>
      <protection hidden="1"/>
    </xf>
    <xf numFmtId="0" fontId="14" fillId="32" borderId="76" xfId="0" applyFont="1" applyFill="1" applyBorder="1" applyAlignment="1" applyProtection="1">
      <alignment horizontal="center" vertical="center"/>
      <protection hidden="1"/>
    </xf>
    <xf numFmtId="0" fontId="14" fillId="37" borderId="76" xfId="0" applyFont="1" applyFill="1" applyBorder="1" applyAlignment="1" applyProtection="1">
      <alignment horizontal="center" vertical="center"/>
      <protection hidden="1"/>
    </xf>
    <xf numFmtId="0" fontId="14" fillId="34" borderId="76" xfId="0" applyFont="1" applyFill="1" applyBorder="1" applyAlignment="1" applyProtection="1">
      <alignment horizontal="center" vertical="center"/>
      <protection hidden="1"/>
    </xf>
    <xf numFmtId="0" fontId="14" fillId="34" borderId="32" xfId="0" applyFont="1" applyFill="1" applyBorder="1" applyAlignment="1" applyProtection="1">
      <alignment horizontal="center" vertical="center"/>
      <protection hidden="1"/>
    </xf>
    <xf numFmtId="0" fontId="14" fillId="34" borderId="77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174" fontId="17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Fill="1" applyBorder="1" applyAlignment="1" applyProtection="1">
      <alignment horizontal="left" vertical="center" shrinkToFit="1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0" fontId="14" fillId="36" borderId="27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9" xfId="0" applyFont="1" applyFill="1" applyBorder="1" applyAlignment="1" applyProtection="1">
      <alignment horizontal="center" vertical="center"/>
      <protection hidden="1"/>
    </xf>
    <xf numFmtId="0" fontId="14" fillId="35" borderId="27" xfId="0" applyFont="1" applyFill="1" applyBorder="1" applyAlignment="1" applyProtection="1">
      <alignment horizontal="center" vertical="center"/>
      <protection hidden="1"/>
    </xf>
    <xf numFmtId="0" fontId="14" fillId="35" borderId="28" xfId="0" applyFont="1" applyFill="1" applyBorder="1" applyAlignment="1" applyProtection="1">
      <alignment horizontal="center" vertical="center"/>
      <protection hidden="1"/>
    </xf>
    <xf numFmtId="0" fontId="14" fillId="35" borderId="29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74" fontId="17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74" xfId="0" applyNumberFormat="1" applyFont="1" applyFill="1" applyBorder="1" applyAlignment="1" applyProtection="1">
      <alignment horizontal="center" vertical="center" shrinkToFit="1"/>
      <protection hidden="1"/>
    </xf>
    <xf numFmtId="1" fontId="17" fillId="0" borderId="49" xfId="0" applyNumberFormat="1" applyFont="1" applyBorder="1" applyAlignment="1" applyProtection="1">
      <alignment horizontal="center" vertical="center" shrinkToFit="1"/>
      <protection hidden="1"/>
    </xf>
    <xf numFmtId="1" fontId="17" fillId="0" borderId="55" xfId="0" applyNumberFormat="1" applyFont="1" applyBorder="1" applyAlignment="1" applyProtection="1">
      <alignment horizontal="center" vertical="center" shrinkToFit="1"/>
      <protection hidden="1"/>
    </xf>
    <xf numFmtId="0" fontId="17" fillId="0" borderId="78" xfId="0" applyFont="1" applyBorder="1" applyAlignment="1" applyProtection="1">
      <alignment horizontal="center" vertical="center" shrinkToFit="1"/>
      <protection hidden="1"/>
    </xf>
    <xf numFmtId="1" fontId="17" fillId="0" borderId="15" xfId="0" applyNumberFormat="1" applyFont="1" applyBorder="1" applyAlignment="1" applyProtection="1">
      <alignment horizontal="center" vertical="center" shrinkToFit="1"/>
      <protection hidden="1"/>
    </xf>
    <xf numFmtId="1" fontId="17" fillId="0" borderId="19" xfId="0" applyNumberFormat="1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3" xfId="0" applyFont="1" applyBorder="1" applyAlignment="1" applyProtection="1">
      <alignment horizontal="center" vertical="center" shrinkToFit="1"/>
      <protection hidden="1"/>
    </xf>
    <xf numFmtId="0" fontId="17" fillId="0" borderId="45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0" borderId="14" xfId="0" applyFont="1" applyBorder="1" applyAlignment="1" applyProtection="1">
      <alignment horizontal="center" vertical="center" shrinkToFit="1"/>
      <protection hidden="1"/>
    </xf>
    <xf numFmtId="0" fontId="14" fillId="36" borderId="32" xfId="0" applyFont="1" applyFill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65" xfId="0" applyFont="1" applyBorder="1" applyAlignment="1" applyProtection="1">
      <alignment horizontal="center" vertical="center" shrinkToFit="1"/>
      <protection hidden="1"/>
    </xf>
    <xf numFmtId="0" fontId="17" fillId="0" borderId="7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66" xfId="0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60" xfId="0" applyFont="1" applyBorder="1" applyAlignment="1" applyProtection="1">
      <alignment horizontal="center" vertical="center" shrinkToFit="1"/>
      <protection hidden="1"/>
    </xf>
    <xf numFmtId="178" fontId="17" fillId="0" borderId="21" xfId="0" applyNumberFormat="1" applyFont="1" applyBorder="1" applyAlignment="1" applyProtection="1">
      <alignment horizontal="center" vertical="center" shrinkToFit="1"/>
      <protection hidden="1"/>
    </xf>
    <xf numFmtId="178" fontId="17" fillId="0" borderId="13" xfId="0" applyNumberFormat="1" applyFont="1" applyBorder="1" applyAlignment="1" applyProtection="1">
      <alignment horizontal="center" vertical="center" shrinkToFit="1"/>
      <protection hidden="1"/>
    </xf>
    <xf numFmtId="0" fontId="14" fillId="36" borderId="77" xfId="0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4" fillId="35" borderId="33" xfId="0" applyFont="1" applyFill="1" applyBorder="1" applyAlignment="1" applyProtection="1">
      <alignment horizontal="center" vertical="center" shrinkToFit="1"/>
      <protection hidden="1"/>
    </xf>
    <xf numFmtId="0" fontId="14" fillId="35" borderId="32" xfId="0" applyFont="1" applyFill="1" applyBorder="1" applyAlignment="1" applyProtection="1">
      <alignment horizontal="center" vertical="center" shrinkToFit="1"/>
      <protection hidden="1"/>
    </xf>
    <xf numFmtId="0" fontId="14" fillId="35" borderId="77" xfId="0" applyFont="1" applyFill="1" applyBorder="1" applyAlignment="1" applyProtection="1">
      <alignment horizontal="center" vertical="center" shrinkToFit="1"/>
      <protection hidden="1"/>
    </xf>
    <xf numFmtId="1" fontId="17" fillId="0" borderId="58" xfId="0" applyNumberFormat="1" applyFont="1" applyBorder="1" applyAlignment="1" applyProtection="1">
      <alignment horizontal="center" vertical="center" shrinkToFit="1"/>
      <protection hidden="1"/>
    </xf>
    <xf numFmtId="1" fontId="17" fillId="0" borderId="75" xfId="0" applyNumberFormat="1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4" fillId="36" borderId="79" xfId="0" applyFont="1" applyFill="1" applyBorder="1" applyAlignment="1" applyProtection="1">
      <alignment horizontal="center" vertical="center" shrinkToFit="1"/>
      <protection hidden="1"/>
    </xf>
    <xf numFmtId="1" fontId="17" fillId="0" borderId="57" xfId="0" applyNumberFormat="1" applyFont="1" applyBorder="1" applyAlignment="1" applyProtection="1">
      <alignment horizontal="center" vertical="center" shrinkToFit="1"/>
      <protection hidden="1"/>
    </xf>
    <xf numFmtId="1" fontId="17" fillId="0" borderId="30" xfId="0" applyNumberFormat="1" applyFont="1" applyBorder="1" applyAlignment="1" applyProtection="1">
      <alignment horizontal="center" vertical="center" shrinkToFit="1"/>
      <protection hidden="1"/>
    </xf>
    <xf numFmtId="0" fontId="14" fillId="36" borderId="33" xfId="0" applyFont="1" applyFill="1" applyBorder="1" applyAlignment="1" applyProtection="1">
      <alignment horizontal="center" vertical="center" shrinkToFit="1"/>
      <protection hidden="1"/>
    </xf>
    <xf numFmtId="0" fontId="17" fillId="0" borderId="26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179" fontId="14" fillId="39" borderId="57" xfId="0" applyNumberFormat="1" applyFont="1" applyFill="1" applyBorder="1" applyAlignment="1" applyProtection="1">
      <alignment horizontal="center" vertical="center"/>
      <protection hidden="1"/>
    </xf>
    <xf numFmtId="179" fontId="14" fillId="39" borderId="30" xfId="0" applyNumberFormat="1" applyFont="1" applyFill="1" applyBorder="1" applyAlignment="1" applyProtection="1">
      <alignment horizontal="center" vertical="center"/>
      <protection hidden="1"/>
    </xf>
    <xf numFmtId="0" fontId="14" fillId="37" borderId="33" xfId="0" applyFont="1" applyFill="1" applyBorder="1" applyAlignment="1" applyProtection="1">
      <alignment horizontal="center" vertical="center"/>
      <protection hidden="1"/>
    </xf>
    <xf numFmtId="0" fontId="14" fillId="37" borderId="28" xfId="0" applyFont="1" applyFill="1" applyBorder="1" applyAlignment="1" applyProtection="1">
      <alignment horizontal="center" vertical="center"/>
      <protection hidden="1"/>
    </xf>
    <xf numFmtId="0" fontId="14" fillId="37" borderId="77" xfId="0" applyFont="1" applyFill="1" applyBorder="1" applyAlignment="1" applyProtection="1">
      <alignment horizontal="center" vertical="center"/>
      <protection hidden="1"/>
    </xf>
    <xf numFmtId="179" fontId="17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14" fillId="36" borderId="27" xfId="0" applyFont="1" applyFill="1" applyBorder="1" applyAlignment="1" applyProtection="1">
      <alignment horizontal="center" vertical="center" shrinkToFit="1"/>
      <protection hidden="1"/>
    </xf>
    <xf numFmtId="0" fontId="14" fillId="36" borderId="28" xfId="0" applyFont="1" applyFill="1" applyBorder="1" applyAlignment="1" applyProtection="1">
      <alignment horizontal="center" vertical="center" shrinkToFit="1"/>
      <protection hidden="1"/>
    </xf>
    <xf numFmtId="0" fontId="14" fillId="36" borderId="29" xfId="0" applyFont="1" applyFill="1" applyBorder="1" applyAlignment="1" applyProtection="1">
      <alignment horizontal="center" vertical="center" shrinkToFit="1"/>
      <protection hidden="1"/>
    </xf>
    <xf numFmtId="0" fontId="14" fillId="37" borderId="27" xfId="0" applyFont="1" applyFill="1" applyBorder="1" applyAlignment="1" applyProtection="1">
      <alignment horizontal="center" vertical="center"/>
      <protection hidden="1"/>
    </xf>
    <xf numFmtId="0" fontId="14" fillId="37" borderId="29" xfId="0" applyFont="1" applyFill="1" applyBorder="1" applyAlignment="1" applyProtection="1">
      <alignment horizontal="center" vertical="center"/>
      <protection hidden="1"/>
    </xf>
    <xf numFmtId="0" fontId="14" fillId="38" borderId="27" xfId="0" applyFont="1" applyFill="1" applyBorder="1" applyAlignment="1" applyProtection="1">
      <alignment horizontal="center" vertical="center"/>
      <protection hidden="1"/>
    </xf>
    <xf numFmtId="0" fontId="14" fillId="38" borderId="28" xfId="0" applyFont="1" applyFill="1" applyBorder="1" applyAlignment="1" applyProtection="1">
      <alignment horizontal="center" vertical="center"/>
      <protection hidden="1"/>
    </xf>
    <xf numFmtId="0" fontId="14" fillId="38" borderId="29" xfId="0" applyFont="1" applyFill="1" applyBorder="1" applyAlignment="1" applyProtection="1">
      <alignment horizontal="center" vertical="center"/>
      <protection hidden="1"/>
    </xf>
    <xf numFmtId="0" fontId="14" fillId="32" borderId="77" xfId="0" applyFont="1" applyFill="1" applyBorder="1" applyAlignment="1" applyProtection="1">
      <alignment horizontal="center" vertical="center"/>
      <protection hidden="1"/>
    </xf>
    <xf numFmtId="174" fontId="14" fillId="0" borderId="46" xfId="0" applyNumberFormat="1" applyFont="1" applyFill="1" applyBorder="1" applyAlignment="1" applyProtection="1">
      <alignment horizontal="center" vertical="center"/>
      <protection hidden="1"/>
    </xf>
    <xf numFmtId="174" fontId="14" fillId="0" borderId="49" xfId="0" applyNumberFormat="1" applyFont="1" applyFill="1" applyBorder="1" applyAlignment="1" applyProtection="1">
      <alignment horizontal="center" vertical="center"/>
      <protection hidden="1"/>
    </xf>
    <xf numFmtId="0" fontId="14" fillId="38" borderId="33" xfId="0" applyFont="1" applyFill="1" applyBorder="1" applyAlignment="1" applyProtection="1">
      <alignment horizontal="center" vertical="center"/>
      <protection hidden="1"/>
    </xf>
    <xf numFmtId="0" fontId="14" fillId="38" borderId="77" xfId="0" applyFont="1" applyFill="1" applyBorder="1" applyAlignment="1" applyProtection="1">
      <alignment horizontal="center" vertical="center"/>
      <protection hidden="1"/>
    </xf>
    <xf numFmtId="185" fontId="14" fillId="0" borderId="0" xfId="0" applyNumberFormat="1" applyFont="1" applyBorder="1" applyAlignment="1" applyProtection="1">
      <alignment horizontal="left" vertical="center"/>
      <protection hidden="1"/>
    </xf>
    <xf numFmtId="174" fontId="17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7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12" xfId="0" applyFont="1" applyBorder="1" applyAlignment="1" applyProtection="1">
      <alignment horizontal="left" vertical="center" shrinkToFit="1"/>
      <protection hidden="1"/>
    </xf>
    <xf numFmtId="0" fontId="14" fillId="0" borderId="26" xfId="0" applyFont="1" applyBorder="1" applyAlignment="1" applyProtection="1">
      <alignment horizontal="left" vertical="center" shrinkToFit="1"/>
      <protection hidden="1"/>
    </xf>
    <xf numFmtId="0" fontId="14" fillId="0" borderId="19" xfId="0" applyFont="1" applyBorder="1" applyAlignment="1" applyProtection="1">
      <alignment horizontal="left" vertical="center" shrinkToFit="1"/>
      <protection hidden="1"/>
    </xf>
    <xf numFmtId="0" fontId="14" fillId="0" borderId="13" xfId="0" applyFont="1" applyBorder="1" applyAlignment="1" applyProtection="1">
      <alignment horizontal="left" vertical="center" shrinkToFit="1"/>
      <protection hidden="1"/>
    </xf>
    <xf numFmtId="0" fontId="14" fillId="0" borderId="22" xfId="0" applyFont="1" applyBorder="1" applyAlignment="1" applyProtection="1">
      <alignment horizontal="left" vertical="center" shrinkToFit="1"/>
      <protection hidden="1"/>
    </xf>
    <xf numFmtId="0" fontId="14" fillId="0" borderId="75" xfId="0" applyFont="1" applyBorder="1" applyAlignment="1" applyProtection="1">
      <alignment horizontal="left" vertical="center" shrinkToFit="1"/>
      <protection hidden="1"/>
    </xf>
    <xf numFmtId="0" fontId="14" fillId="0" borderId="11" xfId="0" applyFont="1" applyBorder="1" applyAlignment="1" applyProtection="1">
      <alignment horizontal="left" vertical="center" shrinkToFit="1"/>
      <protection hidden="1"/>
    </xf>
    <xf numFmtId="0" fontId="14" fillId="0" borderId="24" xfId="0" applyFont="1" applyBorder="1" applyAlignment="1" applyProtection="1">
      <alignment horizontal="left" vertical="center" shrinkToFit="1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78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66" xfId="0" applyFont="1" applyBorder="1" applyAlignment="1" applyProtection="1">
      <alignment horizontal="center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right" vertical="center"/>
      <protection hidden="1"/>
    </xf>
    <xf numFmtId="181" fontId="14" fillId="0" borderId="0" xfId="0" applyNumberFormat="1" applyFont="1" applyBorder="1" applyAlignment="1" applyProtection="1">
      <alignment horizontal="left" vertical="center"/>
      <protection hidden="1"/>
    </xf>
    <xf numFmtId="181" fontId="14" fillId="0" borderId="0" xfId="0" applyNumberFormat="1" applyFont="1" applyBorder="1" applyAlignment="1" applyProtection="1">
      <alignment horizontal="center" vertical="center"/>
      <protection hidden="1"/>
    </xf>
    <xf numFmtId="20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10" fillId="32" borderId="27" xfId="0" applyFont="1" applyFill="1" applyBorder="1" applyAlignment="1" applyProtection="1">
      <alignment horizontal="center" vertical="center"/>
      <protection hidden="1"/>
    </xf>
    <xf numFmtId="0" fontId="10" fillId="32" borderId="28" xfId="0" applyFont="1" applyFill="1" applyBorder="1" applyAlignment="1" applyProtection="1">
      <alignment horizontal="center" vertical="center"/>
      <protection hidden="1"/>
    </xf>
    <xf numFmtId="0" fontId="10" fillId="32" borderId="29" xfId="0" applyFont="1" applyFill="1" applyBorder="1" applyAlignment="1" applyProtection="1">
      <alignment horizontal="center" vertical="center"/>
      <protection hidden="1"/>
    </xf>
    <xf numFmtId="0" fontId="10" fillId="32" borderId="33" xfId="0" applyFont="1" applyFill="1" applyBorder="1" applyAlignment="1" applyProtection="1">
      <alignment horizontal="center" vertical="center"/>
      <protection hidden="1"/>
    </xf>
    <xf numFmtId="0" fontId="10" fillId="32" borderId="77" xfId="0" applyFont="1" applyFill="1" applyBorder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shrinkToFit="1"/>
      <protection hidden="1"/>
    </xf>
    <xf numFmtId="0" fontId="10" fillId="0" borderId="39" xfId="0" applyFont="1" applyBorder="1" applyAlignment="1" applyProtection="1">
      <alignment horizontal="center" vertical="center" shrinkToFit="1"/>
      <protection hidden="1"/>
    </xf>
    <xf numFmtId="0" fontId="10" fillId="35" borderId="27" xfId="0" applyFont="1" applyFill="1" applyBorder="1" applyAlignment="1" applyProtection="1">
      <alignment horizontal="center" vertical="center" shrinkToFit="1"/>
      <protection hidden="1"/>
    </xf>
    <xf numFmtId="0" fontId="10" fillId="35" borderId="28" xfId="0" applyFont="1" applyFill="1" applyBorder="1" applyAlignment="1" applyProtection="1">
      <alignment horizontal="center" vertical="center" shrinkToFit="1"/>
      <protection hidden="1"/>
    </xf>
    <xf numFmtId="0" fontId="10" fillId="35" borderId="29" xfId="0" applyFont="1" applyFill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left" vertical="center" shrinkToFit="1"/>
      <protection hidden="1"/>
    </xf>
    <xf numFmtId="0" fontId="10" fillId="0" borderId="35" xfId="0" applyFont="1" applyBorder="1" applyAlignment="1" applyProtection="1">
      <alignment horizontal="left" vertical="center" shrinkToFit="1"/>
      <protection hidden="1"/>
    </xf>
    <xf numFmtId="0" fontId="10" fillId="0" borderId="36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left" vertical="center" shrinkToFit="1"/>
      <protection hidden="1"/>
    </xf>
    <xf numFmtId="0" fontId="11" fillId="0" borderId="25" xfId="0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 shrinkToFit="1"/>
      <protection hidden="1"/>
    </xf>
    <xf numFmtId="0" fontId="11" fillId="0" borderId="26" xfId="0" applyFont="1" applyFill="1" applyBorder="1" applyAlignment="1" applyProtection="1">
      <alignment horizontal="center" vertical="center" shrinkToFit="1"/>
      <protection hidden="1"/>
    </xf>
    <xf numFmtId="0" fontId="10" fillId="38" borderId="27" xfId="0" applyFont="1" applyFill="1" applyBorder="1" applyAlignment="1" applyProtection="1">
      <alignment horizontal="center" vertical="center"/>
      <protection hidden="1"/>
    </xf>
    <xf numFmtId="0" fontId="10" fillId="38" borderId="28" xfId="0" applyFont="1" applyFill="1" applyBorder="1" applyAlignment="1" applyProtection="1">
      <alignment horizontal="center" vertical="center"/>
      <protection hidden="1"/>
    </xf>
    <xf numFmtId="0" fontId="10" fillId="38" borderId="29" xfId="0" applyFont="1" applyFill="1" applyBorder="1" applyAlignment="1" applyProtection="1">
      <alignment horizontal="center" vertical="center"/>
      <protection hidden="1"/>
    </xf>
    <xf numFmtId="0" fontId="10" fillId="37" borderId="27" xfId="0" applyFont="1" applyFill="1" applyBorder="1" applyAlignment="1" applyProtection="1">
      <alignment horizontal="center" vertical="center"/>
      <protection hidden="1"/>
    </xf>
    <xf numFmtId="0" fontId="10" fillId="37" borderId="28" xfId="0" applyFont="1" applyFill="1" applyBorder="1" applyAlignment="1" applyProtection="1">
      <alignment horizontal="center" vertical="center"/>
      <protection hidden="1"/>
    </xf>
    <xf numFmtId="0" fontId="10" fillId="37" borderId="29" xfId="0" applyFont="1" applyFill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 shrinkToFit="1"/>
      <protection hidden="1"/>
    </xf>
    <xf numFmtId="0" fontId="10" fillId="0" borderId="13" xfId="0" applyFont="1" applyBorder="1" applyAlignment="1" applyProtection="1">
      <alignment horizontal="center" vertical="center" shrinkToFit="1"/>
      <protection hidden="1"/>
    </xf>
    <xf numFmtId="0" fontId="10" fillId="0" borderId="78" xfId="0" applyFont="1" applyBorder="1" applyAlignment="1" applyProtection="1">
      <alignment horizontal="center" vertical="center" shrinkToFit="1"/>
      <protection hidden="1"/>
    </xf>
    <xf numFmtId="0" fontId="10" fillId="34" borderId="19" xfId="0" applyFont="1" applyFill="1" applyBorder="1" applyAlignment="1" applyProtection="1">
      <alignment horizontal="center" vertical="center" shrinkToFit="1"/>
      <protection hidden="1"/>
    </xf>
    <xf numFmtId="0" fontId="10" fillId="34" borderId="13" xfId="0" applyFont="1" applyFill="1" applyBorder="1" applyAlignment="1" applyProtection="1">
      <alignment horizontal="center" vertical="center" shrinkToFit="1"/>
      <protection hidden="1"/>
    </xf>
    <xf numFmtId="0" fontId="10" fillId="34" borderId="78" xfId="0" applyFont="1" applyFill="1" applyBorder="1" applyAlignment="1" applyProtection="1">
      <alignment horizontal="center" vertical="center" shrinkToFit="1"/>
      <protection hidden="1"/>
    </xf>
    <xf numFmtId="0" fontId="10" fillId="0" borderId="35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38" xfId="0" applyFont="1" applyBorder="1" applyAlignment="1" applyProtection="1">
      <alignment horizontal="left" vertical="center" shrinkToFit="1"/>
      <protection hidden="1"/>
    </xf>
    <xf numFmtId="0" fontId="10" fillId="0" borderId="39" xfId="0" applyFont="1" applyBorder="1" applyAlignment="1" applyProtection="1">
      <alignment horizontal="left" vertical="center" shrinkToFit="1"/>
      <protection hidden="1"/>
    </xf>
    <xf numFmtId="0" fontId="10" fillId="0" borderId="37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31" fillId="36" borderId="51" xfId="0" applyFont="1" applyFill="1" applyBorder="1" applyAlignment="1" applyProtection="1">
      <alignment horizontal="center" textRotation="90"/>
      <protection hidden="1"/>
    </xf>
    <xf numFmtId="0" fontId="31" fillId="36" borderId="41" xfId="0" applyFont="1" applyFill="1" applyBorder="1" applyAlignment="1" applyProtection="1">
      <alignment horizontal="center" textRotation="90"/>
      <protection hidden="1"/>
    </xf>
    <xf numFmtId="0" fontId="31" fillId="36" borderId="42" xfId="0" applyFont="1" applyFill="1" applyBorder="1" applyAlignment="1" applyProtection="1">
      <alignment horizontal="center" textRotation="90"/>
      <protection hidden="1"/>
    </xf>
    <xf numFmtId="0" fontId="31" fillId="36" borderId="53" xfId="0" applyFont="1" applyFill="1" applyBorder="1" applyAlignment="1" applyProtection="1">
      <alignment horizontal="center" textRotation="90"/>
      <protection hidden="1"/>
    </xf>
    <xf numFmtId="0" fontId="31" fillId="36" borderId="0" xfId="0" applyFont="1" applyFill="1" applyBorder="1" applyAlignment="1" applyProtection="1">
      <alignment horizontal="center" textRotation="90"/>
      <protection hidden="1"/>
    </xf>
    <xf numFmtId="0" fontId="31" fillId="36" borderId="43" xfId="0" applyFont="1" applyFill="1" applyBorder="1" applyAlignment="1" applyProtection="1">
      <alignment horizontal="center" textRotation="90"/>
      <protection hidden="1"/>
    </xf>
    <xf numFmtId="0" fontId="31" fillId="36" borderId="55" xfId="0" applyFont="1" applyFill="1" applyBorder="1" applyAlignment="1" applyProtection="1">
      <alignment horizontal="center" textRotation="90"/>
      <protection hidden="1"/>
    </xf>
    <xf numFmtId="0" fontId="31" fillId="36" borderId="14" xfId="0" applyFont="1" applyFill="1" applyBorder="1" applyAlignment="1" applyProtection="1">
      <alignment horizontal="center" textRotation="90"/>
      <protection hidden="1"/>
    </xf>
    <xf numFmtId="0" fontId="31" fillId="36" borderId="45" xfId="0" applyFont="1" applyFill="1" applyBorder="1" applyAlignment="1" applyProtection="1">
      <alignment horizontal="center" textRotation="90"/>
      <protection hidden="1"/>
    </xf>
    <xf numFmtId="0" fontId="31" fillId="36" borderId="40" xfId="0" applyFont="1" applyFill="1" applyBorder="1" applyAlignment="1" applyProtection="1">
      <alignment horizontal="center" textRotation="90"/>
      <protection hidden="1"/>
    </xf>
    <xf numFmtId="0" fontId="31" fillId="36" borderId="10" xfId="0" applyFont="1" applyFill="1" applyBorder="1" applyAlignment="1" applyProtection="1">
      <alignment horizontal="center" textRotation="90"/>
      <protection hidden="1"/>
    </xf>
    <xf numFmtId="0" fontId="31" fillId="36" borderId="44" xfId="0" applyFont="1" applyFill="1" applyBorder="1" applyAlignment="1" applyProtection="1">
      <alignment horizontal="center" textRotation="90"/>
      <protection hidden="1"/>
    </xf>
    <xf numFmtId="0" fontId="10" fillId="34" borderId="39" xfId="0" applyFont="1" applyFill="1" applyBorder="1" applyAlignment="1" applyProtection="1">
      <alignment horizontal="center" vertical="center" shrinkToFit="1"/>
      <protection hidden="1"/>
    </xf>
    <xf numFmtId="0" fontId="10" fillId="34" borderId="60" xfId="0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Border="1" applyAlignment="1" applyProtection="1">
      <alignment horizontal="center" vertical="center" shrinkToFit="1"/>
      <protection hidden="1"/>
    </xf>
    <xf numFmtId="178" fontId="10" fillId="0" borderId="23" xfId="0" applyNumberFormat="1" applyFont="1" applyBorder="1" applyAlignment="1" applyProtection="1">
      <alignment horizontal="center" vertical="center" shrinkToFit="1"/>
      <protection hidden="1"/>
    </xf>
    <xf numFmtId="178" fontId="10" fillId="0" borderId="11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Border="1" applyAlignment="1" applyProtection="1">
      <alignment horizontal="center" vertical="center" shrinkToFit="1"/>
      <protection hidden="1"/>
    </xf>
    <xf numFmtId="0" fontId="10" fillId="0" borderId="12" xfId="0" applyFont="1" applyBorder="1" applyAlignment="1" applyProtection="1">
      <alignment horizontal="center" vertical="center" shrinkToFit="1"/>
      <protection hidden="1"/>
    </xf>
    <xf numFmtId="0" fontId="10" fillId="0" borderId="65" xfId="0" applyFont="1" applyBorder="1" applyAlignment="1" applyProtection="1">
      <alignment horizontal="center" vertical="center" shrinkToFit="1"/>
      <protection hidden="1"/>
    </xf>
    <xf numFmtId="0" fontId="10" fillId="34" borderId="34" xfId="0" applyFont="1" applyFill="1" applyBorder="1" applyAlignment="1" applyProtection="1">
      <alignment horizontal="center" vertical="center" shrinkToFit="1"/>
      <protection hidden="1"/>
    </xf>
    <xf numFmtId="0" fontId="10" fillId="34" borderId="35" xfId="0" applyFont="1" applyFill="1" applyBorder="1" applyAlignment="1" applyProtection="1">
      <alignment horizontal="center" vertical="center" shrinkToFit="1"/>
      <protection hidden="1"/>
    </xf>
    <xf numFmtId="0" fontId="10" fillId="0" borderId="36" xfId="0" applyFont="1" applyBorder="1" applyAlignment="1" applyProtection="1">
      <alignment horizontal="center" vertical="center" shrinkToFit="1"/>
      <protection hidden="1"/>
    </xf>
    <xf numFmtId="0" fontId="10" fillId="0" borderId="15" xfId="0" applyFont="1" applyBorder="1" applyAlignment="1" applyProtection="1">
      <alignment horizontal="center" vertical="center" shrinkToFit="1"/>
      <protection hidden="1"/>
    </xf>
    <xf numFmtId="0" fontId="31" fillId="36" borderId="52" xfId="0" applyFont="1" applyFill="1" applyBorder="1" applyAlignment="1" applyProtection="1">
      <alignment horizontal="center" textRotation="90"/>
      <protection hidden="1"/>
    </xf>
    <xf numFmtId="0" fontId="31" fillId="36" borderId="54" xfId="0" applyFont="1" applyFill="1" applyBorder="1" applyAlignment="1" applyProtection="1">
      <alignment horizontal="center" textRotation="90"/>
      <protection hidden="1"/>
    </xf>
    <xf numFmtId="0" fontId="31" fillId="36" borderId="56" xfId="0" applyFont="1" applyFill="1" applyBorder="1" applyAlignment="1" applyProtection="1">
      <alignment horizontal="center" textRotation="90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78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left" vertical="center" shrinkToFit="1"/>
      <protection hidden="1"/>
    </xf>
    <xf numFmtId="0" fontId="10" fillId="0" borderId="12" xfId="0" applyFont="1" applyBorder="1" applyAlignment="1" applyProtection="1">
      <alignment horizontal="left" vertical="center" shrinkToFit="1"/>
      <protection hidden="1"/>
    </xf>
    <xf numFmtId="0" fontId="10" fillId="0" borderId="26" xfId="0" applyFont="1" applyBorder="1" applyAlignment="1" applyProtection="1">
      <alignment horizontal="left" vertical="center" shrinkToFit="1"/>
      <protection hidden="1"/>
    </xf>
    <xf numFmtId="0" fontId="10" fillId="0" borderId="19" xfId="0" applyFont="1" applyBorder="1" applyAlignment="1" applyProtection="1">
      <alignment horizontal="left" vertical="center" shrinkToFit="1"/>
      <protection hidden="1"/>
    </xf>
    <xf numFmtId="0" fontId="10" fillId="0" borderId="13" xfId="0" applyFont="1" applyBorder="1" applyAlignment="1" applyProtection="1">
      <alignment horizontal="left" vertical="center" shrinkToFit="1"/>
      <protection hidden="1"/>
    </xf>
    <xf numFmtId="0" fontId="10" fillId="0" borderId="22" xfId="0" applyFont="1" applyBorder="1" applyAlignment="1" applyProtection="1">
      <alignment horizontal="left" vertical="center" shrinkToFit="1"/>
      <protection hidden="1"/>
    </xf>
    <xf numFmtId="0" fontId="10" fillId="0" borderId="75" xfId="0" applyFont="1" applyBorder="1" applyAlignment="1" applyProtection="1">
      <alignment horizontal="left" vertical="center" shrinkToFit="1"/>
      <protection hidden="1"/>
    </xf>
    <xf numFmtId="0" fontId="10" fillId="0" borderId="11" xfId="0" applyFont="1" applyBorder="1" applyAlignment="1" applyProtection="1">
      <alignment horizontal="left" vertical="center" shrinkToFit="1"/>
      <protection hidden="1"/>
    </xf>
    <xf numFmtId="0" fontId="10" fillId="0" borderId="24" xfId="0" applyFont="1" applyBorder="1" applyAlignment="1" applyProtection="1">
      <alignment horizontal="left" vertical="center" shrinkToFit="1"/>
      <protection hidden="1"/>
    </xf>
    <xf numFmtId="179" fontId="10" fillId="0" borderId="46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51" xfId="0" applyNumberFormat="1" applyFont="1" applyFill="1" applyBorder="1" applyAlignment="1" applyProtection="1">
      <alignment horizontal="right" vertical="center" shrinkToFit="1"/>
      <protection hidden="1"/>
    </xf>
    <xf numFmtId="179" fontId="10" fillId="39" borderId="57" xfId="0" applyNumberFormat="1" applyFont="1" applyFill="1" applyBorder="1" applyAlignment="1" applyProtection="1">
      <alignment horizontal="center" vertical="center"/>
      <protection hidden="1"/>
    </xf>
    <xf numFmtId="179" fontId="10" fillId="39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0" fillId="34" borderId="33" xfId="0" applyFont="1" applyFill="1" applyBorder="1" applyAlignment="1" applyProtection="1">
      <alignment horizontal="center" vertical="center"/>
      <protection hidden="1"/>
    </xf>
    <xf numFmtId="0" fontId="10" fillId="34" borderId="28" xfId="0" applyFont="1" applyFill="1" applyBorder="1" applyAlignment="1" applyProtection="1">
      <alignment horizontal="center"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4" borderId="15" xfId="0" applyFont="1" applyFill="1" applyBorder="1" applyAlignment="1" applyProtection="1">
      <alignment horizontal="center" vertical="center"/>
      <protection hidden="1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46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174" fontId="10" fillId="0" borderId="46" xfId="0" applyNumberFormat="1" applyFont="1" applyFill="1" applyBorder="1" applyAlignment="1" applyProtection="1">
      <alignment horizontal="center" vertical="center"/>
      <protection hidden="1"/>
    </xf>
    <xf numFmtId="174" fontId="10" fillId="0" borderId="49" xfId="0" applyNumberFormat="1" applyFont="1" applyFill="1" applyBorder="1" applyAlignment="1" applyProtection="1">
      <alignment horizontal="center" vertical="center"/>
      <protection hidden="1"/>
    </xf>
    <xf numFmtId="0" fontId="10" fillId="37" borderId="33" xfId="0" applyFont="1" applyFill="1" applyBorder="1" applyAlignment="1" applyProtection="1">
      <alignment horizontal="center" vertical="center"/>
      <protection hidden="1"/>
    </xf>
    <xf numFmtId="0" fontId="10" fillId="37" borderId="77" xfId="0" applyFont="1" applyFill="1" applyBorder="1" applyAlignment="1" applyProtection="1">
      <alignment horizontal="center" vertical="center"/>
      <protection hidden="1"/>
    </xf>
    <xf numFmtId="0" fontId="10" fillId="37" borderId="32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left" vertical="center" shrinkToFit="1"/>
      <protection hidden="1"/>
    </xf>
    <xf numFmtId="0" fontId="10" fillId="0" borderId="66" xfId="0" applyFont="1" applyFill="1" applyBorder="1" applyAlignment="1" applyProtection="1">
      <alignment horizontal="left" vertical="center" shrinkToFit="1"/>
      <protection hidden="1"/>
    </xf>
    <xf numFmtId="0" fontId="10" fillId="37" borderId="76" xfId="0" applyFont="1" applyFill="1" applyBorder="1" applyAlignment="1" applyProtection="1">
      <alignment horizontal="center" vertical="center"/>
      <protection hidden="1"/>
    </xf>
    <xf numFmtId="0" fontId="10" fillId="38" borderId="32" xfId="0" applyFont="1" applyFill="1" applyBorder="1" applyAlignment="1" applyProtection="1">
      <alignment horizontal="center" vertical="center"/>
      <protection hidden="1"/>
    </xf>
    <xf numFmtId="0" fontId="10" fillId="38" borderId="33" xfId="0" applyFont="1" applyFill="1" applyBorder="1" applyAlignment="1" applyProtection="1">
      <alignment horizontal="center" vertical="center"/>
      <protection hidden="1"/>
    </xf>
    <xf numFmtId="0" fontId="10" fillId="38" borderId="77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left" vertical="center" shrinkToFit="1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84" fontId="10" fillId="0" borderId="0" xfId="0" applyNumberFormat="1" applyFont="1" applyAlignment="1" applyProtection="1">
      <alignment horizontal="center" vertical="center"/>
      <protection hidden="1"/>
    </xf>
    <xf numFmtId="0" fontId="32" fillId="0" borderId="68" xfId="0" applyFont="1" applyBorder="1" applyAlignment="1" applyProtection="1">
      <alignment horizontal="center" vertical="center"/>
      <protection hidden="1"/>
    </xf>
    <xf numFmtId="0" fontId="32" fillId="0" borderId="69" xfId="0" applyFont="1" applyBorder="1" applyAlignment="1" applyProtection="1">
      <alignment horizontal="center" vertical="center"/>
      <protection hidden="1"/>
    </xf>
    <xf numFmtId="0" fontId="32" fillId="0" borderId="70" xfId="0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/>
      <protection hidden="1"/>
    </xf>
    <xf numFmtId="0" fontId="32" fillId="0" borderId="72" xfId="0" applyFont="1" applyBorder="1" applyAlignment="1" applyProtection="1">
      <alignment horizontal="center" vertical="center"/>
      <protection hidden="1"/>
    </xf>
    <xf numFmtId="0" fontId="32" fillId="0" borderId="73" xfId="0" applyFont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 shrinkToFit="1"/>
      <protection hidden="1"/>
    </xf>
    <xf numFmtId="0" fontId="10" fillId="0" borderId="18" xfId="0" applyFont="1" applyFill="1" applyBorder="1" applyAlignment="1" applyProtection="1">
      <alignment horizontal="center" vertical="center" shrinkToFit="1"/>
      <protection hidden="1"/>
    </xf>
    <xf numFmtId="0" fontId="10" fillId="0" borderId="61" xfId="0" applyFont="1" applyFill="1" applyBorder="1" applyAlignment="1" applyProtection="1">
      <alignment horizontal="center" vertical="center" shrinkToFit="1"/>
      <protection hidden="1"/>
    </xf>
    <xf numFmtId="174" fontId="10" fillId="0" borderId="3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3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74" xfId="0" applyNumberFormat="1" applyFont="1" applyFill="1" applyBorder="1" applyAlignment="1" applyProtection="1">
      <alignment horizontal="center" vertical="center" shrinkToFit="1"/>
      <protection hidden="1"/>
    </xf>
    <xf numFmtId="178" fontId="10" fillId="0" borderId="21" xfId="0" applyNumberFormat="1" applyFont="1" applyBorder="1" applyAlignment="1" applyProtection="1">
      <alignment horizontal="center" vertical="center" shrinkToFit="1"/>
      <protection hidden="1"/>
    </xf>
    <xf numFmtId="178" fontId="10" fillId="0" borderId="13" xfId="0" applyNumberFormat="1" applyFont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center" vertical="center" shrinkToFit="1"/>
      <protection hidden="1"/>
    </xf>
    <xf numFmtId="0" fontId="10" fillId="36" borderId="28" xfId="0" applyFont="1" applyFill="1" applyBorder="1" applyAlignment="1" applyProtection="1">
      <alignment horizontal="center" vertical="center" shrinkToFit="1"/>
      <protection hidden="1"/>
    </xf>
    <xf numFmtId="0" fontId="10" fillId="36" borderId="29" xfId="0" applyFont="1" applyFill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 shrinkToFit="1"/>
      <protection hidden="1"/>
    </xf>
    <xf numFmtId="0" fontId="10" fillId="34" borderId="15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Border="1" applyAlignment="1" applyProtection="1">
      <alignment horizontal="center" vertical="center" shrinkToFit="1"/>
      <protection hidden="1"/>
    </xf>
    <xf numFmtId="0" fontId="10" fillId="0" borderId="22" xfId="0" applyFont="1" applyBorder="1" applyAlignment="1" applyProtection="1">
      <alignment horizontal="center" vertical="center" shrinkToFit="1"/>
      <protection hidden="1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6" borderId="32" xfId="0" applyFont="1" applyFill="1" applyBorder="1" applyAlignment="1" applyProtection="1">
      <alignment horizontal="center" vertical="center" shrinkToFit="1"/>
      <protection hidden="1"/>
    </xf>
    <xf numFmtId="0" fontId="10" fillId="36" borderId="77" xfId="0" applyFont="1" applyFill="1" applyBorder="1" applyAlignment="1" applyProtection="1">
      <alignment horizontal="center" vertical="center" shrinkToFit="1"/>
      <protection hidden="1"/>
    </xf>
    <xf numFmtId="1" fontId="10" fillId="0" borderId="15" xfId="0" applyNumberFormat="1" applyFont="1" applyBorder="1" applyAlignment="1" applyProtection="1">
      <alignment horizontal="center" vertical="center" shrinkToFit="1"/>
      <protection hidden="1"/>
    </xf>
    <xf numFmtId="1" fontId="10" fillId="0" borderId="19" xfId="0" applyNumberFormat="1" applyFont="1" applyBorder="1" applyAlignment="1" applyProtection="1">
      <alignment horizontal="center" vertical="center" shrinkToFit="1"/>
      <protection hidden="1"/>
    </xf>
    <xf numFmtId="0" fontId="10" fillId="35" borderId="33" xfId="0" applyFont="1" applyFill="1" applyBorder="1" applyAlignment="1" applyProtection="1">
      <alignment horizontal="center" vertical="center" shrinkToFit="1"/>
      <protection hidden="1"/>
    </xf>
    <xf numFmtId="0" fontId="10" fillId="35" borderId="32" xfId="0" applyFont="1" applyFill="1" applyBorder="1" applyAlignment="1" applyProtection="1">
      <alignment horizontal="center" vertical="center" shrinkToFit="1"/>
      <protection hidden="1"/>
    </xf>
    <xf numFmtId="0" fontId="10" fillId="0" borderId="66" xfId="0" applyFont="1" applyBorder="1" applyAlignment="1" applyProtection="1">
      <alignment horizontal="center" vertical="center" shrinkToFit="1"/>
      <protection hidden="1"/>
    </xf>
    <xf numFmtId="0" fontId="10" fillId="0" borderId="11" xfId="0" applyFont="1" applyBorder="1" applyAlignment="1" applyProtection="1">
      <alignment horizontal="center" vertical="center" shrinkToFit="1"/>
      <protection hidden="1"/>
    </xf>
    <xf numFmtId="1" fontId="10" fillId="0" borderId="58" xfId="0" applyNumberFormat="1" applyFont="1" applyBorder="1" applyAlignment="1" applyProtection="1">
      <alignment horizontal="center" vertical="center" shrinkToFit="1"/>
      <protection hidden="1"/>
    </xf>
    <xf numFmtId="1" fontId="10" fillId="0" borderId="75" xfId="0" applyNumberFormat="1" applyFont="1" applyBorder="1" applyAlignment="1" applyProtection="1">
      <alignment horizontal="center" vertical="center" shrinkToFit="1"/>
      <protection hidden="1"/>
    </xf>
    <xf numFmtId="0" fontId="10" fillId="0" borderId="60" xfId="0" applyFont="1" applyBorder="1" applyAlignment="1" applyProtection="1">
      <alignment horizontal="center" vertical="center" shrinkToFit="1"/>
      <protection hidden="1"/>
    </xf>
    <xf numFmtId="0" fontId="10" fillId="0" borderId="75" xfId="0" applyFont="1" applyBorder="1" applyAlignment="1" applyProtection="1">
      <alignment horizontal="center" vertical="center" shrinkToFit="1"/>
      <protection hidden="1"/>
    </xf>
    <xf numFmtId="0" fontId="10" fillId="0" borderId="34" xfId="0" applyFont="1" applyBorder="1" applyAlignment="1" applyProtection="1">
      <alignment horizontal="center" vertical="center" shrinkToFit="1"/>
      <protection hidden="1"/>
    </xf>
    <xf numFmtId="0" fontId="10" fillId="36" borderId="33" xfId="0" applyFont="1" applyFill="1" applyBorder="1" applyAlignment="1" applyProtection="1">
      <alignment horizontal="center" vertical="center" shrinkToFit="1"/>
      <protection hidden="1"/>
    </xf>
    <xf numFmtId="0" fontId="10" fillId="36" borderId="79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Border="1" applyAlignment="1" applyProtection="1">
      <alignment horizontal="center" vertical="center" shrinkToFit="1"/>
      <protection hidden="1"/>
    </xf>
    <xf numFmtId="1" fontId="10" fillId="0" borderId="57" xfId="0" applyNumberFormat="1" applyFont="1" applyBorder="1" applyAlignment="1" applyProtection="1">
      <alignment horizontal="center" vertical="center" shrinkToFit="1"/>
      <protection hidden="1"/>
    </xf>
    <xf numFmtId="1" fontId="10" fillId="0" borderId="30" xfId="0" applyNumberFormat="1" applyFont="1" applyBorder="1" applyAlignment="1" applyProtection="1">
      <alignment horizontal="center" vertical="center" shrinkToFit="1"/>
      <protection hidden="1"/>
    </xf>
    <xf numFmtId="0" fontId="10" fillId="0" borderId="30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left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6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center" vertical="center" shrinkToFit="1"/>
      <protection hidden="1"/>
    </xf>
    <xf numFmtId="0" fontId="10" fillId="0" borderId="80" xfId="0" applyFont="1" applyFill="1" applyBorder="1" applyAlignment="1" applyProtection="1">
      <alignment horizontal="center" vertical="center" shrinkToFit="1"/>
      <protection hidden="1"/>
    </xf>
    <xf numFmtId="179" fontId="10" fillId="0" borderId="31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2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30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65" xfId="0" applyFont="1" applyFill="1" applyBorder="1" applyAlignment="1" applyProtection="1">
      <alignment horizontal="left" vertical="center" shrinkToFit="1"/>
      <protection hidden="1"/>
    </xf>
    <xf numFmtId="0" fontId="31" fillId="35" borderId="51" xfId="0" applyFont="1" applyFill="1" applyBorder="1" applyAlignment="1" applyProtection="1">
      <alignment horizontal="center" textRotation="90"/>
      <protection hidden="1"/>
    </xf>
    <xf numFmtId="0" fontId="31" fillId="35" borderId="41" xfId="0" applyFont="1" applyFill="1" applyBorder="1" applyAlignment="1" applyProtection="1">
      <alignment horizontal="center" textRotation="90"/>
      <protection hidden="1"/>
    </xf>
    <xf numFmtId="0" fontId="31" fillId="35" borderId="52" xfId="0" applyFont="1" applyFill="1" applyBorder="1" applyAlignment="1" applyProtection="1">
      <alignment horizontal="center" textRotation="90"/>
      <protection hidden="1"/>
    </xf>
    <xf numFmtId="0" fontId="31" fillId="35" borderId="53" xfId="0" applyFont="1" applyFill="1" applyBorder="1" applyAlignment="1" applyProtection="1">
      <alignment horizontal="center" textRotation="90"/>
      <protection hidden="1"/>
    </xf>
    <xf numFmtId="0" fontId="31" fillId="35" borderId="0" xfId="0" applyFont="1" applyFill="1" applyBorder="1" applyAlignment="1" applyProtection="1">
      <alignment horizontal="center" textRotation="90"/>
      <protection hidden="1"/>
    </xf>
    <xf numFmtId="0" fontId="31" fillId="35" borderId="54" xfId="0" applyFont="1" applyFill="1" applyBorder="1" applyAlignment="1" applyProtection="1">
      <alignment horizontal="center" textRotation="90"/>
      <protection hidden="1"/>
    </xf>
    <xf numFmtId="0" fontId="31" fillId="35" borderId="55" xfId="0" applyFont="1" applyFill="1" applyBorder="1" applyAlignment="1" applyProtection="1">
      <alignment horizontal="center" textRotation="90"/>
      <protection hidden="1"/>
    </xf>
    <xf numFmtId="0" fontId="31" fillId="35" borderId="14" xfId="0" applyFont="1" applyFill="1" applyBorder="1" applyAlignment="1" applyProtection="1">
      <alignment horizontal="center" textRotation="90"/>
      <protection hidden="1"/>
    </xf>
    <xf numFmtId="0" fontId="31" fillId="35" borderId="56" xfId="0" applyFont="1" applyFill="1" applyBorder="1" applyAlignment="1" applyProtection="1">
      <alignment horizontal="center" textRotation="90"/>
      <protection hidden="1"/>
    </xf>
    <xf numFmtId="0" fontId="10" fillId="35" borderId="77" xfId="0" applyFont="1" applyFill="1" applyBorder="1" applyAlignment="1" applyProtection="1">
      <alignment horizontal="center" vertical="center" shrinkToFit="1"/>
      <protection hidden="1"/>
    </xf>
    <xf numFmtId="0" fontId="31" fillId="35" borderId="40" xfId="0" applyFont="1" applyFill="1" applyBorder="1" applyAlignment="1" applyProtection="1">
      <alignment horizontal="center" textRotation="90"/>
      <protection hidden="1"/>
    </xf>
    <xf numFmtId="0" fontId="31" fillId="35" borderId="42" xfId="0" applyFont="1" applyFill="1" applyBorder="1" applyAlignment="1" applyProtection="1">
      <alignment horizontal="center" textRotation="90"/>
      <protection hidden="1"/>
    </xf>
    <xf numFmtId="0" fontId="31" fillId="35" borderId="10" xfId="0" applyFont="1" applyFill="1" applyBorder="1" applyAlignment="1" applyProtection="1">
      <alignment horizontal="center" textRotation="90"/>
      <protection hidden="1"/>
    </xf>
    <xf numFmtId="0" fontId="31" fillId="35" borderId="43" xfId="0" applyFont="1" applyFill="1" applyBorder="1" applyAlignment="1" applyProtection="1">
      <alignment horizontal="center" textRotation="90"/>
      <protection hidden="1"/>
    </xf>
    <xf numFmtId="0" fontId="31" fillId="35" borderId="44" xfId="0" applyFont="1" applyFill="1" applyBorder="1" applyAlignment="1" applyProtection="1">
      <alignment horizontal="center" textRotation="90"/>
      <protection hidden="1"/>
    </xf>
    <xf numFmtId="0" fontId="31" fillId="35" borderId="45" xfId="0" applyFont="1" applyFill="1" applyBorder="1" applyAlignment="1" applyProtection="1">
      <alignment horizontal="center" textRotation="90"/>
      <protection hidden="1"/>
    </xf>
    <xf numFmtId="0" fontId="10" fillId="0" borderId="67" xfId="0" applyFont="1" applyFill="1" applyBorder="1" applyAlignment="1" applyProtection="1">
      <alignment horizontal="center" vertical="center" shrinkToFit="1"/>
      <protection hidden="1"/>
    </xf>
    <xf numFmtId="0" fontId="10" fillId="0" borderId="20" xfId="0" applyFont="1" applyFill="1" applyBorder="1" applyAlignment="1" applyProtection="1">
      <alignment horizontal="left" vertical="center" shrinkToFit="1"/>
      <protection hidden="1"/>
    </xf>
    <xf numFmtId="0" fontId="10" fillId="0" borderId="74" xfId="0" applyFont="1" applyFill="1" applyBorder="1" applyAlignment="1" applyProtection="1">
      <alignment horizontal="left" vertical="center" shrinkToFit="1"/>
      <protection hidden="1"/>
    </xf>
    <xf numFmtId="0" fontId="10" fillId="0" borderId="31" xfId="0" applyFont="1" applyFill="1" applyBorder="1" applyAlignment="1" applyProtection="1">
      <alignment horizontal="left" vertical="center" shrinkToFit="1"/>
      <protection hidden="1"/>
    </xf>
    <xf numFmtId="174" fontId="10" fillId="0" borderId="75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0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58" xfId="0" applyFont="1" applyFill="1" applyBorder="1" applyAlignment="1" applyProtection="1">
      <alignment horizontal="center" vertical="center" shrinkToFit="1"/>
      <protection hidden="1"/>
    </xf>
    <xf numFmtId="179" fontId="10" fillId="0" borderId="75" xfId="0" applyNumberFormat="1" applyFont="1" applyFill="1" applyBorder="1" applyAlignment="1" applyProtection="1">
      <alignment horizontal="right" vertical="center" shrinkToFit="1"/>
      <protection hidden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8" fontId="10" fillId="0" borderId="25" xfId="0" applyNumberFormat="1" applyFont="1" applyBorder="1" applyAlignment="1" applyProtection="1">
      <alignment horizontal="center" vertical="center" shrinkToFit="1"/>
      <protection hidden="1"/>
    </xf>
    <xf numFmtId="178" fontId="10" fillId="0" borderId="12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20" fontId="10" fillId="0" borderId="0" xfId="0" applyNumberFormat="1" applyFont="1" applyBorder="1" applyAlignment="1" applyProtection="1">
      <alignment horizontal="center" vertical="center"/>
      <protection hidden="1"/>
    </xf>
    <xf numFmtId="0" fontId="10" fillId="36" borderId="27" xfId="0" applyFont="1" applyFill="1" applyBorder="1" applyAlignment="1" applyProtection="1">
      <alignment horizontal="center" vertical="center"/>
      <protection hidden="1"/>
    </xf>
    <xf numFmtId="0" fontId="10" fillId="36" borderId="28" xfId="0" applyFont="1" applyFill="1" applyBorder="1" applyAlignment="1" applyProtection="1">
      <alignment horizontal="center" vertical="center"/>
      <protection hidden="1"/>
    </xf>
    <xf numFmtId="0" fontId="10" fillId="36" borderId="29" xfId="0" applyFont="1" applyFill="1" applyBorder="1" applyAlignment="1" applyProtection="1">
      <alignment horizontal="center" vertical="center"/>
      <protection hidden="1"/>
    </xf>
    <xf numFmtId="0" fontId="10" fillId="35" borderId="27" xfId="0" applyFont="1" applyFill="1" applyBorder="1" applyAlignment="1" applyProtection="1">
      <alignment horizontal="center" vertical="center"/>
      <protection hidden="1"/>
    </xf>
    <xf numFmtId="0" fontId="10" fillId="35" borderId="28" xfId="0" applyFont="1" applyFill="1" applyBorder="1" applyAlignment="1" applyProtection="1">
      <alignment horizontal="center" vertical="center"/>
      <protection hidden="1"/>
    </xf>
    <xf numFmtId="0" fontId="10" fillId="35" borderId="29" xfId="0" applyFont="1" applyFill="1" applyBorder="1" applyAlignment="1" applyProtection="1">
      <alignment horizontal="center" vertical="center"/>
      <protection hidden="1"/>
    </xf>
    <xf numFmtId="0" fontId="10" fillId="38" borderId="76" xfId="0" applyFont="1" applyFill="1" applyBorder="1" applyAlignment="1" applyProtection="1">
      <alignment horizontal="center" vertical="center"/>
      <protection hidden="1"/>
    </xf>
    <xf numFmtId="0" fontId="10" fillId="32" borderId="76" xfId="0" applyFont="1" applyFill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181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left" vertical="center" shrinkToFit="1"/>
      <protection hidden="1"/>
    </xf>
    <xf numFmtId="0" fontId="10" fillId="0" borderId="21" xfId="0" applyFont="1" applyBorder="1" applyAlignment="1" applyProtection="1">
      <alignment horizontal="left" vertical="center" shrinkToFit="1"/>
      <protection hidden="1"/>
    </xf>
    <xf numFmtId="184" fontId="14" fillId="0" borderId="0" xfId="0" applyNumberFormat="1" applyFont="1" applyAlignment="1" applyProtection="1">
      <alignment horizontal="center" vertical="center"/>
      <protection hidden="1"/>
    </xf>
    <xf numFmtId="0" fontId="10" fillId="34" borderId="76" xfId="0" applyFont="1" applyFill="1" applyBorder="1" applyAlignment="1" applyProtection="1">
      <alignment horizontal="center" vertical="center"/>
      <protection hidden="1"/>
    </xf>
    <xf numFmtId="0" fontId="10" fillId="34" borderId="32" xfId="0" applyFont="1" applyFill="1" applyBorder="1" applyAlignment="1" applyProtection="1">
      <alignment horizontal="center" vertical="center"/>
      <protection hidden="1"/>
    </xf>
    <xf numFmtId="0" fontId="10" fillId="0" borderId="6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left" vertical="center" shrinkToFit="1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48</xdr:col>
      <xdr:colOff>104775</xdr:colOff>
      <xdr:row>0</xdr:row>
      <xdr:rowOff>0</xdr:rowOff>
    </xdr:from>
    <xdr:to>
      <xdr:col>61</xdr:col>
      <xdr:colOff>28575</xdr:colOff>
      <xdr:row>9</xdr:row>
      <xdr:rowOff>38100</xdr:rowOff>
    </xdr:to>
    <xdr:pic>
      <xdr:nvPicPr>
        <xdr:cNvPr id="1" name="Grafik 1" descr="SV GW Vernum Logo_transpare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0"/>
          <a:ext cx="1781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tabSelected="1" zoomScalePageLayoutView="0" workbookViewId="0" topLeftCell="A76">
      <selection activeCell="BE93" sqref="BE93:BH93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84" t="s">
        <v>78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83" t="s">
        <v>80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Z3" s="213" t="s">
        <v>61</v>
      </c>
      <c r="BA3" s="213"/>
      <c r="BB3" s="213"/>
      <c r="BC3" s="213"/>
      <c r="BD3" s="213"/>
      <c r="BE3" s="213"/>
      <c r="BF3" s="213"/>
      <c r="BG3" s="21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2" t="s">
        <v>81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85">
        <v>42880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1" t="s">
        <v>79</v>
      </c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64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08" t="s">
        <v>62</v>
      </c>
      <c r="C11" s="208"/>
      <c r="D11" s="208"/>
      <c r="E11" s="208"/>
      <c r="F11" s="208"/>
      <c r="G11" s="208"/>
      <c r="H11" s="211">
        <v>0.3958333333333333</v>
      </c>
      <c r="I11" s="211"/>
      <c r="J11" s="211"/>
      <c r="K11" s="211"/>
      <c r="L11" s="17" t="s">
        <v>0</v>
      </c>
      <c r="T11" s="45" t="s">
        <v>1</v>
      </c>
      <c r="U11" s="212">
        <v>1</v>
      </c>
      <c r="V11" s="212"/>
      <c r="W11" s="46" t="s">
        <v>2</v>
      </c>
      <c r="X11" s="207">
        <v>15</v>
      </c>
      <c r="Y11" s="207"/>
      <c r="Z11" s="207"/>
      <c r="AA11" s="207"/>
      <c r="AB11" s="207"/>
      <c r="AC11" s="206">
        <f>IF(U11=2,"Halbzeit:","")</f>
      </c>
      <c r="AD11" s="206"/>
      <c r="AE11" s="206"/>
      <c r="AF11" s="206"/>
      <c r="AG11" s="206"/>
      <c r="AH11" s="206"/>
      <c r="AI11" s="207"/>
      <c r="AJ11" s="207"/>
      <c r="AK11" s="207"/>
      <c r="AL11" s="207"/>
      <c r="AM11" s="207"/>
      <c r="AN11" s="208" t="s">
        <v>3</v>
      </c>
      <c r="AO11" s="208"/>
      <c r="AP11" s="208"/>
      <c r="AQ11" s="208"/>
      <c r="AR11" s="208"/>
      <c r="AS11" s="208"/>
      <c r="AT11" s="208"/>
      <c r="AU11" s="208"/>
      <c r="AV11" s="208"/>
      <c r="AW11" s="209">
        <v>3</v>
      </c>
      <c r="AX11" s="209"/>
      <c r="AY11" s="209"/>
      <c r="AZ11" s="209"/>
      <c r="BA11" s="209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26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08" t="s">
        <v>62</v>
      </c>
      <c r="C14" s="208"/>
      <c r="D14" s="208"/>
      <c r="E14" s="208"/>
      <c r="F14" s="208"/>
      <c r="G14" s="208"/>
      <c r="H14" s="211">
        <f>H38+TEXT(2*$U$11*($X$11/1440)+($AI$11/1440)+($AW$11/1440),"hh:mm")</f>
        <v>0.55625</v>
      </c>
      <c r="I14" s="211"/>
      <c r="J14" s="211"/>
      <c r="K14" s="211"/>
      <c r="L14" s="17" t="s">
        <v>0</v>
      </c>
      <c r="T14" s="45" t="s">
        <v>1</v>
      </c>
      <c r="U14" s="212">
        <f>U11</f>
        <v>1</v>
      </c>
      <c r="V14" s="212"/>
      <c r="W14" s="46" t="s">
        <v>2</v>
      </c>
      <c r="X14" s="207">
        <f>X11</f>
        <v>15</v>
      </c>
      <c r="Y14" s="207"/>
      <c r="Z14" s="207"/>
      <c r="AA14" s="207"/>
      <c r="AB14" s="207"/>
      <c r="AC14" s="206">
        <f>IF(U14=2,"Halbzeit:","")</f>
      </c>
      <c r="AD14" s="206"/>
      <c r="AE14" s="206"/>
      <c r="AF14" s="206"/>
      <c r="AG14" s="206"/>
      <c r="AH14" s="206"/>
      <c r="AI14" s="210">
        <f>AI11</f>
        <v>0</v>
      </c>
      <c r="AJ14" s="210"/>
      <c r="AK14" s="210"/>
      <c r="AL14" s="210"/>
      <c r="AM14" s="210"/>
      <c r="AN14" s="208" t="s">
        <v>3</v>
      </c>
      <c r="AO14" s="208"/>
      <c r="AP14" s="208"/>
      <c r="AQ14" s="208"/>
      <c r="AR14" s="208"/>
      <c r="AS14" s="208"/>
      <c r="AT14" s="208"/>
      <c r="AU14" s="208"/>
      <c r="AV14" s="208"/>
      <c r="AW14" s="209">
        <f>AW11</f>
        <v>3</v>
      </c>
      <c r="AX14" s="209"/>
      <c r="AY14" s="209"/>
      <c r="AZ14" s="209"/>
      <c r="BA14" s="209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38" t="s">
        <v>5</v>
      </c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40"/>
      <c r="AC18" s="335" t="s">
        <v>6</v>
      </c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7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00" t="s">
        <v>82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56" t="s">
        <v>58</v>
      </c>
      <c r="AB19" s="117">
        <v>1</v>
      </c>
      <c r="AC19" s="200" t="s">
        <v>89</v>
      </c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2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7" t="s">
        <v>84</v>
      </c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9"/>
      <c r="Y20" s="156" t="s">
        <v>59</v>
      </c>
      <c r="AB20" s="117">
        <v>2</v>
      </c>
      <c r="AC20" s="197" t="s">
        <v>87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9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7" t="s">
        <v>86</v>
      </c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9"/>
      <c r="Y21" s="156" t="s">
        <v>60</v>
      </c>
      <c r="AB21" s="117">
        <v>3</v>
      </c>
      <c r="AC21" s="197" t="s">
        <v>85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9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203" t="s">
        <v>88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5"/>
      <c r="AB22" s="117">
        <v>4</v>
      </c>
      <c r="AC22" s="203" t="s">
        <v>83</v>
      </c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5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8</v>
      </c>
    </row>
    <row r="25" s="22" customFormat="1" ht="18" customHeight="1" thickBot="1"/>
    <row r="26" spans="3:60" s="22" customFormat="1" ht="18" customHeight="1" thickBot="1">
      <c r="C26" s="325" t="s">
        <v>9</v>
      </c>
      <c r="D26" s="326"/>
      <c r="E26" s="305" t="s">
        <v>10</v>
      </c>
      <c r="F26" s="306"/>
      <c r="G26" s="327"/>
      <c r="H26" s="305" t="s">
        <v>63</v>
      </c>
      <c r="I26" s="306"/>
      <c r="J26" s="306"/>
      <c r="K26" s="327"/>
      <c r="L26" s="305" t="s">
        <v>11</v>
      </c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27"/>
      <c r="BC26" s="305" t="s">
        <v>12</v>
      </c>
      <c r="BD26" s="306"/>
      <c r="BE26" s="306"/>
      <c r="BF26" s="306"/>
      <c r="BG26" s="306"/>
      <c r="BH26" s="118"/>
    </row>
    <row r="27" spans="3:60" s="22" customFormat="1" ht="18" customHeight="1">
      <c r="C27" s="294">
        <v>1</v>
      </c>
      <c r="D27" s="295"/>
      <c r="E27" s="295" t="s">
        <v>13</v>
      </c>
      <c r="F27" s="295"/>
      <c r="G27" s="295"/>
      <c r="H27" s="401">
        <f>$H$11</f>
        <v>0.3958333333333333</v>
      </c>
      <c r="I27" s="402"/>
      <c r="J27" s="402"/>
      <c r="K27" s="403"/>
      <c r="L27" s="316" t="str">
        <f>$D$19</f>
        <v>VfR 08 Oberhausen 1</v>
      </c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120" t="s">
        <v>14</v>
      </c>
      <c r="AH27" s="288" t="str">
        <f>$D$20</f>
        <v>FC Tannenhof 2</v>
      </c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9"/>
      <c r="BC27" s="307">
        <v>0</v>
      </c>
      <c r="BD27" s="308"/>
      <c r="BE27" s="308"/>
      <c r="BF27" s="310">
        <v>0</v>
      </c>
      <c r="BG27" s="310"/>
      <c r="BH27" s="121"/>
    </row>
    <row r="28" spans="3:60" s="22" customFormat="1" ht="18" customHeight="1" thickBot="1">
      <c r="C28" s="292">
        <v>2</v>
      </c>
      <c r="D28" s="293"/>
      <c r="E28" s="293" t="s">
        <v>13</v>
      </c>
      <c r="F28" s="293"/>
      <c r="G28" s="293"/>
      <c r="H28" s="329">
        <f>H27+TEXT($U$11*($X$11/1440)+($AI$11/1440)+($AW$11/1440),"hh:mm")</f>
        <v>0.4083333333333333</v>
      </c>
      <c r="I28" s="330"/>
      <c r="J28" s="330"/>
      <c r="K28" s="331"/>
      <c r="L28" s="332" t="str">
        <f>$D$21</f>
        <v>GW Vernum 2</v>
      </c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109" t="s">
        <v>14</v>
      </c>
      <c r="AH28" s="286" t="str">
        <f>$D$22</f>
        <v>SC Auwel-Holt</v>
      </c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7"/>
      <c r="BC28" s="225">
        <v>1</v>
      </c>
      <c r="BD28" s="226"/>
      <c r="BE28" s="226"/>
      <c r="BF28" s="223">
        <v>0</v>
      </c>
      <c r="BG28" s="224"/>
      <c r="BH28" s="121"/>
    </row>
    <row r="29" spans="3:60" s="22" customFormat="1" ht="18" customHeight="1">
      <c r="C29" s="296">
        <v>3</v>
      </c>
      <c r="D29" s="297"/>
      <c r="E29" s="297" t="s">
        <v>15</v>
      </c>
      <c r="F29" s="297"/>
      <c r="G29" s="297"/>
      <c r="H29" s="342">
        <f aca="true" t="shared" si="0" ref="H29:H37">H28+TEXT($U$11*($X$11/1440)+($AI$11/1440)+($AW$11/1440),"hh:mm")</f>
        <v>0.42083333333333334</v>
      </c>
      <c r="I29" s="343"/>
      <c r="J29" s="343"/>
      <c r="K29" s="344"/>
      <c r="L29" s="290" t="str">
        <f>$AC$19</f>
        <v>GW Vernum 3</v>
      </c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191" t="s">
        <v>14</v>
      </c>
      <c r="AH29" s="291" t="str">
        <f>$AC$20</f>
        <v>GW Vernum 1</v>
      </c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311"/>
      <c r="BC29" s="227">
        <v>1</v>
      </c>
      <c r="BD29" s="228"/>
      <c r="BE29" s="228"/>
      <c r="BF29" s="309">
        <v>2</v>
      </c>
      <c r="BG29" s="309"/>
      <c r="BH29" s="121"/>
    </row>
    <row r="30" spans="3:60" s="22" customFormat="1" ht="18" customHeight="1" thickBot="1">
      <c r="C30" s="292">
        <v>4</v>
      </c>
      <c r="D30" s="293"/>
      <c r="E30" s="293" t="s">
        <v>15</v>
      </c>
      <c r="F30" s="293"/>
      <c r="G30" s="293"/>
      <c r="H30" s="329">
        <f t="shared" si="0"/>
        <v>0.43333333333333335</v>
      </c>
      <c r="I30" s="330"/>
      <c r="J30" s="330"/>
      <c r="K30" s="331"/>
      <c r="L30" s="332" t="str">
        <f>$AC$21</f>
        <v>FC Tannenhof 1</v>
      </c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109" t="s">
        <v>14</v>
      </c>
      <c r="AH30" s="286" t="str">
        <f>$AC$22</f>
        <v>VfR 08 Oberhausen 2</v>
      </c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7"/>
      <c r="BC30" s="225">
        <v>0</v>
      </c>
      <c r="BD30" s="226"/>
      <c r="BE30" s="226"/>
      <c r="BF30" s="223">
        <v>0</v>
      </c>
      <c r="BG30" s="224"/>
      <c r="BH30" s="121"/>
    </row>
    <row r="31" spans="3:60" s="22" customFormat="1" ht="18" customHeight="1">
      <c r="C31" s="296">
        <v>5</v>
      </c>
      <c r="D31" s="297"/>
      <c r="E31" s="297" t="s">
        <v>13</v>
      </c>
      <c r="F31" s="297"/>
      <c r="G31" s="297"/>
      <c r="H31" s="342">
        <f t="shared" si="0"/>
        <v>0.44583333333333336</v>
      </c>
      <c r="I31" s="343"/>
      <c r="J31" s="343"/>
      <c r="K31" s="344"/>
      <c r="L31" s="290" t="str">
        <f>$D$19</f>
        <v>VfR 08 Oberhausen 1</v>
      </c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191" t="s">
        <v>14</v>
      </c>
      <c r="AH31" s="291" t="str">
        <f>$D$21</f>
        <v>GW Vernum 2</v>
      </c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311"/>
      <c r="BC31" s="227">
        <v>1</v>
      </c>
      <c r="BD31" s="228"/>
      <c r="BE31" s="228"/>
      <c r="BF31" s="309">
        <v>1</v>
      </c>
      <c r="BG31" s="309"/>
      <c r="BH31" s="121"/>
    </row>
    <row r="32" spans="3:60" s="22" customFormat="1" ht="18" customHeight="1" thickBot="1">
      <c r="C32" s="292">
        <v>6</v>
      </c>
      <c r="D32" s="293"/>
      <c r="E32" s="293" t="s">
        <v>13</v>
      </c>
      <c r="F32" s="293"/>
      <c r="G32" s="293"/>
      <c r="H32" s="329">
        <f t="shared" si="0"/>
        <v>0.45833333333333337</v>
      </c>
      <c r="I32" s="330"/>
      <c r="J32" s="330"/>
      <c r="K32" s="331"/>
      <c r="L32" s="332" t="str">
        <f>$D$20</f>
        <v>FC Tannenhof 2</v>
      </c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109" t="s">
        <v>14</v>
      </c>
      <c r="AH32" s="286" t="str">
        <f>$D$22</f>
        <v>SC Auwel-Holt</v>
      </c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286"/>
      <c r="AZ32" s="286"/>
      <c r="BA32" s="286"/>
      <c r="BB32" s="287"/>
      <c r="BC32" s="225">
        <v>0</v>
      </c>
      <c r="BD32" s="226"/>
      <c r="BE32" s="226"/>
      <c r="BF32" s="223">
        <v>3</v>
      </c>
      <c r="BG32" s="224"/>
      <c r="BH32" s="121"/>
    </row>
    <row r="33" spans="3:60" s="22" customFormat="1" ht="18" customHeight="1">
      <c r="C33" s="296">
        <v>7</v>
      </c>
      <c r="D33" s="297"/>
      <c r="E33" s="297" t="s">
        <v>15</v>
      </c>
      <c r="F33" s="297"/>
      <c r="G33" s="297"/>
      <c r="H33" s="342">
        <f t="shared" si="0"/>
        <v>0.4708333333333334</v>
      </c>
      <c r="I33" s="343"/>
      <c r="J33" s="343"/>
      <c r="K33" s="344"/>
      <c r="L33" s="290" t="str">
        <f>$AC$19</f>
        <v>GW Vernum 3</v>
      </c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191" t="s">
        <v>14</v>
      </c>
      <c r="AH33" s="291" t="str">
        <f>$AC$21</f>
        <v>FC Tannenhof 1</v>
      </c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311"/>
      <c r="BC33" s="227">
        <v>0</v>
      </c>
      <c r="BD33" s="228"/>
      <c r="BE33" s="228"/>
      <c r="BF33" s="309">
        <v>2</v>
      </c>
      <c r="BG33" s="309"/>
      <c r="BH33" s="121"/>
    </row>
    <row r="34" spans="3:60" s="22" customFormat="1" ht="18" customHeight="1" thickBot="1">
      <c r="C34" s="292">
        <v>8</v>
      </c>
      <c r="D34" s="293"/>
      <c r="E34" s="293" t="s">
        <v>15</v>
      </c>
      <c r="F34" s="293"/>
      <c r="G34" s="293"/>
      <c r="H34" s="329">
        <f t="shared" si="0"/>
        <v>0.4833333333333334</v>
      </c>
      <c r="I34" s="330"/>
      <c r="J34" s="330"/>
      <c r="K34" s="331"/>
      <c r="L34" s="332" t="str">
        <f>$AC$20</f>
        <v>GW Vernum 1</v>
      </c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109" t="s">
        <v>14</v>
      </c>
      <c r="AH34" s="286" t="str">
        <f>$AC$22</f>
        <v>VfR 08 Oberhausen 2</v>
      </c>
      <c r="AI34" s="286"/>
      <c r="AJ34" s="286"/>
      <c r="AK34" s="286"/>
      <c r="AL34" s="286"/>
      <c r="AM34" s="286"/>
      <c r="AN34" s="286"/>
      <c r="AO34" s="286"/>
      <c r="AP34" s="286"/>
      <c r="AQ34" s="286"/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7"/>
      <c r="BC34" s="225">
        <v>0</v>
      </c>
      <c r="BD34" s="226"/>
      <c r="BE34" s="226"/>
      <c r="BF34" s="223">
        <v>0</v>
      </c>
      <c r="BG34" s="224"/>
      <c r="BH34" s="121"/>
    </row>
    <row r="35" spans="3:60" s="22" customFormat="1" ht="18" customHeight="1">
      <c r="C35" s="296">
        <v>9</v>
      </c>
      <c r="D35" s="297"/>
      <c r="E35" s="297" t="s">
        <v>13</v>
      </c>
      <c r="F35" s="297"/>
      <c r="G35" s="297"/>
      <c r="H35" s="342">
        <f t="shared" si="0"/>
        <v>0.4958333333333334</v>
      </c>
      <c r="I35" s="343"/>
      <c r="J35" s="343"/>
      <c r="K35" s="344"/>
      <c r="L35" s="290" t="str">
        <f>$D$22</f>
        <v>SC Auwel-Holt</v>
      </c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191" t="s">
        <v>14</v>
      </c>
      <c r="AH35" s="291" t="str">
        <f>$D$19</f>
        <v>VfR 08 Oberhausen 1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311"/>
      <c r="BC35" s="227">
        <v>1</v>
      </c>
      <c r="BD35" s="228"/>
      <c r="BE35" s="228"/>
      <c r="BF35" s="309">
        <v>1</v>
      </c>
      <c r="BG35" s="309"/>
      <c r="BH35" s="121"/>
    </row>
    <row r="36" spans="3:60" s="22" customFormat="1" ht="18" customHeight="1" thickBot="1">
      <c r="C36" s="292">
        <v>10</v>
      </c>
      <c r="D36" s="293"/>
      <c r="E36" s="293" t="s">
        <v>13</v>
      </c>
      <c r="F36" s="293"/>
      <c r="G36" s="293"/>
      <c r="H36" s="329">
        <f t="shared" si="0"/>
        <v>0.5083333333333334</v>
      </c>
      <c r="I36" s="330"/>
      <c r="J36" s="330"/>
      <c r="K36" s="331"/>
      <c r="L36" s="332" t="str">
        <f>$D$21</f>
        <v>GW Vernum 2</v>
      </c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109" t="s">
        <v>14</v>
      </c>
      <c r="AH36" s="286" t="str">
        <f>$D$20</f>
        <v>FC Tannenhof 2</v>
      </c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7"/>
      <c r="BC36" s="225">
        <v>2</v>
      </c>
      <c r="BD36" s="226"/>
      <c r="BE36" s="226"/>
      <c r="BF36" s="223">
        <v>1</v>
      </c>
      <c r="BG36" s="224"/>
      <c r="BH36" s="121"/>
    </row>
    <row r="37" spans="3:60" s="22" customFormat="1" ht="18" customHeight="1">
      <c r="C37" s="296">
        <v>11</v>
      </c>
      <c r="D37" s="297"/>
      <c r="E37" s="297" t="s">
        <v>15</v>
      </c>
      <c r="F37" s="297"/>
      <c r="G37" s="297"/>
      <c r="H37" s="342">
        <f t="shared" si="0"/>
        <v>0.5208333333333334</v>
      </c>
      <c r="I37" s="343"/>
      <c r="J37" s="343"/>
      <c r="K37" s="344"/>
      <c r="L37" s="290" t="str">
        <f>$AC$22</f>
        <v>VfR 08 Oberhausen 2</v>
      </c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191" t="s">
        <v>14</v>
      </c>
      <c r="AH37" s="291" t="str">
        <f>$AC$19</f>
        <v>GW Vernum 3</v>
      </c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311"/>
      <c r="BC37" s="227">
        <v>1</v>
      </c>
      <c r="BD37" s="228"/>
      <c r="BE37" s="228"/>
      <c r="BF37" s="309">
        <v>2</v>
      </c>
      <c r="BG37" s="309"/>
      <c r="BH37" s="121"/>
    </row>
    <row r="38" spans="3:130" s="22" customFormat="1" ht="18" customHeight="1" thickBot="1">
      <c r="C38" s="292">
        <v>12</v>
      </c>
      <c r="D38" s="293"/>
      <c r="E38" s="293" t="s">
        <v>15</v>
      </c>
      <c r="F38" s="293"/>
      <c r="G38" s="293"/>
      <c r="H38" s="329">
        <f>H37+TEXT($U$11*($X$11/1440)+($AI$11/1440)+($AW$11/1440),"hh:mm")</f>
        <v>0.5333333333333333</v>
      </c>
      <c r="I38" s="330"/>
      <c r="J38" s="330"/>
      <c r="K38" s="331"/>
      <c r="L38" s="332" t="str">
        <f>$AC$21</f>
        <v>FC Tannenhof 1</v>
      </c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109" t="s">
        <v>14</v>
      </c>
      <c r="AH38" s="286" t="str">
        <f>$AC$20</f>
        <v>GW Vernum 1</v>
      </c>
      <c r="AI38" s="286"/>
      <c r="AJ38" s="286"/>
      <c r="AK38" s="286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6"/>
      <c r="AY38" s="286"/>
      <c r="AZ38" s="286"/>
      <c r="BA38" s="286"/>
      <c r="BB38" s="287"/>
      <c r="BC38" s="225">
        <v>1</v>
      </c>
      <c r="BD38" s="226"/>
      <c r="BE38" s="226"/>
      <c r="BF38" s="223">
        <v>2</v>
      </c>
      <c r="BG38" s="223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77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42" t="str">
        <f>M49</f>
        <v>GW Vernum 2</v>
      </c>
      <c r="AI41" s="243"/>
      <c r="AJ41" s="244"/>
      <c r="AK41" s="257" t="str">
        <f>M50</f>
        <v>SC Auwel-Holt</v>
      </c>
      <c r="AL41" s="243"/>
      <c r="AM41" s="244"/>
      <c r="AN41" s="257" t="str">
        <f>M51</f>
        <v>VfR 08 Oberhausen 1</v>
      </c>
      <c r="AO41" s="243"/>
      <c r="AP41" s="244"/>
      <c r="AQ41" s="257" t="str">
        <f>M52</f>
        <v>FC Tannenhof 2</v>
      </c>
      <c r="AR41" s="243"/>
      <c r="AS41" s="258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45"/>
      <c r="AI42" s="246"/>
      <c r="AJ42" s="247"/>
      <c r="AK42" s="259"/>
      <c r="AL42" s="246"/>
      <c r="AM42" s="247"/>
      <c r="AN42" s="259"/>
      <c r="AO42" s="246"/>
      <c r="AP42" s="247"/>
      <c r="AQ42" s="259"/>
      <c r="AR42" s="246"/>
      <c r="AS42" s="260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45"/>
      <c r="AI43" s="246"/>
      <c r="AJ43" s="247"/>
      <c r="AK43" s="259"/>
      <c r="AL43" s="246"/>
      <c r="AM43" s="247"/>
      <c r="AN43" s="259"/>
      <c r="AO43" s="246"/>
      <c r="AP43" s="247"/>
      <c r="AQ43" s="259"/>
      <c r="AR43" s="246"/>
      <c r="AS43" s="260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45"/>
      <c r="AI44" s="246"/>
      <c r="AJ44" s="247"/>
      <c r="AK44" s="259"/>
      <c r="AL44" s="246"/>
      <c r="AM44" s="247"/>
      <c r="AN44" s="259"/>
      <c r="AO44" s="246"/>
      <c r="AP44" s="247"/>
      <c r="AQ44" s="259"/>
      <c r="AR44" s="246"/>
      <c r="AS44" s="260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45"/>
      <c r="AI45" s="246"/>
      <c r="AJ45" s="247"/>
      <c r="AK45" s="259"/>
      <c r="AL45" s="246"/>
      <c r="AM45" s="247"/>
      <c r="AN45" s="259"/>
      <c r="AO45" s="246"/>
      <c r="AP45" s="247"/>
      <c r="AQ45" s="259"/>
      <c r="AR45" s="246"/>
      <c r="AS45" s="260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45"/>
      <c r="AI46" s="246"/>
      <c r="AJ46" s="247"/>
      <c r="AK46" s="259"/>
      <c r="AL46" s="246"/>
      <c r="AM46" s="247"/>
      <c r="AN46" s="259"/>
      <c r="AO46" s="246"/>
      <c r="AP46" s="247"/>
      <c r="AQ46" s="259"/>
      <c r="AR46" s="246"/>
      <c r="AS46" s="260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299" t="s">
        <v>16</v>
      </c>
      <c r="D47" s="300"/>
      <c r="E47" s="300"/>
      <c r="F47" s="300"/>
      <c r="G47" s="300"/>
      <c r="H47" s="300"/>
      <c r="I47" s="301"/>
      <c r="AH47" s="245"/>
      <c r="AI47" s="246"/>
      <c r="AJ47" s="247"/>
      <c r="AK47" s="259"/>
      <c r="AL47" s="246"/>
      <c r="AM47" s="247"/>
      <c r="AN47" s="259"/>
      <c r="AO47" s="246"/>
      <c r="AP47" s="247"/>
      <c r="AQ47" s="259"/>
      <c r="AR47" s="246"/>
      <c r="AS47" s="260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02" t="s">
        <v>17</v>
      </c>
      <c r="D48" s="303"/>
      <c r="E48" s="303"/>
      <c r="F48" s="304"/>
      <c r="G48" s="302" t="s">
        <v>18</v>
      </c>
      <c r="H48" s="303"/>
      <c r="I48" s="304"/>
      <c r="K48" s="231" t="str">
        <f>IF(' '!L9=0,D18,IF(' '!B9&lt;&gt;' '!L9,"es liegen nicht alle Ergebnisse vor",D18))</f>
        <v>Gruppe A</v>
      </c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3"/>
      <c r="AH48" s="248"/>
      <c r="AI48" s="249"/>
      <c r="AJ48" s="250"/>
      <c r="AK48" s="261"/>
      <c r="AL48" s="249"/>
      <c r="AM48" s="250"/>
      <c r="AN48" s="261"/>
      <c r="AO48" s="249"/>
      <c r="AP48" s="250"/>
      <c r="AQ48" s="261"/>
      <c r="AR48" s="249"/>
      <c r="AS48" s="262"/>
      <c r="AT48" s="232" t="s">
        <v>19</v>
      </c>
      <c r="AU48" s="232"/>
      <c r="AV48" s="371"/>
      <c r="AW48" s="369" t="s">
        <v>20</v>
      </c>
      <c r="AX48" s="232"/>
      <c r="AY48" s="371"/>
      <c r="AZ48" s="369" t="s">
        <v>21</v>
      </c>
      <c r="BA48" s="232"/>
      <c r="BB48" s="371"/>
      <c r="BC48" s="369" t="s">
        <v>22</v>
      </c>
      <c r="BD48" s="232"/>
      <c r="BE48" s="371"/>
      <c r="BF48" s="370" t="s">
        <v>23</v>
      </c>
      <c r="BG48" s="370"/>
      <c r="BH48" s="370"/>
      <c r="BI48" s="370"/>
      <c r="BJ48" s="370"/>
      <c r="BK48" s="370" t="s">
        <v>24</v>
      </c>
      <c r="BL48" s="370"/>
      <c r="BM48" s="369"/>
      <c r="BN48" s="369" t="s">
        <v>25</v>
      </c>
      <c r="BO48" s="232"/>
      <c r="BP48" s="233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298"/>
      <c r="D49" s="298"/>
      <c r="E49" s="298"/>
      <c r="F49" s="298"/>
      <c r="G49" s="298"/>
      <c r="H49" s="298"/>
      <c r="I49" s="298"/>
      <c r="K49" s="240">
        <f>IF(' '!$L$9=0,"",1)</f>
        <v>1</v>
      </c>
      <c r="L49" s="241"/>
      <c r="M49" s="238" t="str">
        <f>IF(' '!$L$9=0,D19,VLOOKUP(' '!B5,' '!$C$5:$O$8,4,0))</f>
        <v>GW Vernum 2</v>
      </c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74"/>
      <c r="AI49" s="274"/>
      <c r="AJ49" s="275"/>
      <c r="AK49" s="272" t="str">
        <f>IF(AND(M49&amp;$AK$41=VLOOKUP(M49&amp;$AK$41,' '!$D$23:$H$46,1,0),VLOOKUP(M49&amp;$AK$41,' '!$D$23:$H$46,4,0)&lt;&gt;""),VLOOKUP(M49&amp;$AK$41,' '!$D$23:$H$46,4,0),VLOOKUP(M49&amp;$AK$41,' '!$D$23:$H$46,5,0))</f>
        <v>1:0</v>
      </c>
      <c r="AL49" s="272"/>
      <c r="AM49" s="272"/>
      <c r="AN49" s="272" t="str">
        <f>IF(AND(M49&amp;$AN$41=VLOOKUP(M49&amp;$AN$41,' '!$D$23:$H$46,1,0),VLOOKUP(M49&amp;$AN$41,' '!$D$23:$H$46,4,0)&lt;&gt;""),VLOOKUP(M49&amp;$AN$41,' '!$D$23:$H$46,4,0),VLOOKUP(M49&amp;$AN$41,' '!$D$23:$H$46,5,0))</f>
        <v>1:1</v>
      </c>
      <c r="AO49" s="272"/>
      <c r="AP49" s="272"/>
      <c r="AQ49" s="270" t="str">
        <f>IF(AND(M49&amp;$AQ$41=VLOOKUP(M49&amp;$AQ$41,' '!$D$23:$H$46,1,0),VLOOKUP(M49&amp;$AQ$41,' '!$D$23:$H$46,4,0)&lt;&gt;""),VLOOKUP(M49&amp;$AQ$41,' '!$D$23:$H$46,4,0),VLOOKUP(M49&amp;$AQ$41,' '!$D$23:$H$46,5,0))</f>
        <v>2:1</v>
      </c>
      <c r="AR49" s="271"/>
      <c r="AS49" s="271"/>
      <c r="AT49" s="271">
        <f>IF(' '!$L$9=0,"",VLOOKUP(' '!B5,' '!$C$5:$O$8,10,0))</f>
        <v>3</v>
      </c>
      <c r="AU49" s="271"/>
      <c r="AV49" s="364"/>
      <c r="AW49" s="272">
        <f>IF(' '!$L$9=0,"",VLOOKUP(' '!B5,' '!$C$5:$O$8,11,0))</f>
        <v>2</v>
      </c>
      <c r="AX49" s="272"/>
      <c r="AY49" s="272"/>
      <c r="AZ49" s="272">
        <f>IF(' '!$L$9=0,"",VLOOKUP(' '!B5,' '!$C$5:$O$8,12,0))</f>
        <v>1</v>
      </c>
      <c r="BA49" s="272"/>
      <c r="BB49" s="272"/>
      <c r="BC49" s="272">
        <f>IF(' '!$L$9=0,"",VLOOKUP(' '!B5,' '!$C$5:$O$8,13,0))</f>
        <v>0</v>
      </c>
      <c r="BD49" s="272"/>
      <c r="BE49" s="272"/>
      <c r="BF49" s="360">
        <f>IF(' '!$L$9=0,"",VLOOKUP(' '!B5,' '!$C$5:$O$8,5,0))</f>
        <v>4</v>
      </c>
      <c r="BG49" s="360"/>
      <c r="BH49" s="123" t="str">
        <f>IF(' '!$L$9=0,"",":")</f>
        <v>:</v>
      </c>
      <c r="BI49" s="361">
        <f>IF(' '!$L$9=0,"",VLOOKUP(' '!B5,' '!$C$5:$O$8,6,0))</f>
        <v>2</v>
      </c>
      <c r="BJ49" s="272"/>
      <c r="BK49" s="372">
        <f>IF(' '!$L$9=0,"",BF49-BI49)</f>
        <v>2</v>
      </c>
      <c r="BL49" s="372"/>
      <c r="BM49" s="373"/>
      <c r="BN49" s="272">
        <f>IF(' '!$L$9=0,"",VLOOKUP(' '!B5,' '!$C$5:$O$8,7,0))</f>
        <v>7</v>
      </c>
      <c r="BO49" s="272"/>
      <c r="BP49" s="270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298"/>
      <c r="D50" s="298"/>
      <c r="E50" s="298"/>
      <c r="F50" s="298"/>
      <c r="G50" s="298"/>
      <c r="H50" s="298"/>
      <c r="I50" s="298"/>
      <c r="K50" s="365">
        <f>IF(' '!$L$9=0,"",IF(VLOOKUP(' '!B6,' '!$C$5:$E$8,3,0)=MAX(K$49:K49),"",' '!B6))</f>
        <v>2</v>
      </c>
      <c r="L50" s="366"/>
      <c r="M50" s="236" t="str">
        <f>IF(' '!$L$9=0,D20,VLOOKUP(' '!B6,' '!$C$5:$O$8,4,0))</f>
        <v>SC Auwel-Holt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67" t="str">
        <f>IF(AND(M50&amp;$AH$41=VLOOKUP(M50&amp;$AH$41,' '!$D$23:$H$46,1,0),VLOOKUP(M50&amp;$AH$41,' '!$D$23:$H$46,4,0)&lt;&gt;""),VLOOKUP(M50&amp;$AH$41,' '!$D$23:$H$46,4,0),VLOOKUP(M50&amp;$AH$41,' '!$D$23:$H$46,5,0))</f>
        <v>0:1</v>
      </c>
      <c r="AI50" s="267"/>
      <c r="AJ50" s="273"/>
      <c r="AK50" s="265"/>
      <c r="AL50" s="265"/>
      <c r="AM50" s="265"/>
      <c r="AN50" s="264" t="str">
        <f>IF(AND(M50&amp;$AN$41=VLOOKUP(M50&amp;$AN$41,' '!$D$23:$H$46,1,0),VLOOKUP(M50&amp;$AN$41,' '!$D$23:$H$46,4,0)&lt;&gt;""),VLOOKUP(M50&amp;$AN$41,' '!$D$23:$H$46,4,0),VLOOKUP(M50&amp;$AN$41,' '!$D$23:$H$46,5,0))</f>
        <v>1:1</v>
      </c>
      <c r="AO50" s="264"/>
      <c r="AP50" s="264"/>
      <c r="AQ50" s="266" t="str">
        <f>IF(AND(M50&amp;$AQ$41=VLOOKUP(M50&amp;$AQ$41,' '!$D$23:$H$46,1,0),VLOOKUP(M50&amp;$AQ$41,' '!$D$23:$H$46,4,0)&lt;&gt;""),VLOOKUP(M50&amp;$AQ$41,' '!$D$23:$H$46,4,0),VLOOKUP(M50&amp;$AQ$41,' '!$D$23:$H$46,5,0))</f>
        <v>3:0</v>
      </c>
      <c r="AR50" s="267"/>
      <c r="AS50" s="267"/>
      <c r="AT50" s="267">
        <f>IF(' '!$L$9=0,"",VLOOKUP(' '!B6,' '!$C$5:$O$8,10,0))</f>
        <v>3</v>
      </c>
      <c r="AU50" s="267"/>
      <c r="AV50" s="273"/>
      <c r="AW50" s="264">
        <f>IF(' '!$L$9=0,"",VLOOKUP(' '!B6,' '!$C$5:$O$8,11,0))</f>
        <v>1</v>
      </c>
      <c r="AX50" s="264"/>
      <c r="AY50" s="264"/>
      <c r="AZ50" s="264">
        <f>IF(' '!$L$9=0,"",VLOOKUP(' '!B6,' '!$C$5:$O$8,12,0))</f>
        <v>1</v>
      </c>
      <c r="BA50" s="264"/>
      <c r="BB50" s="264"/>
      <c r="BC50" s="264">
        <f>IF(' '!$L$9=0,"",VLOOKUP(' '!B6,' '!$C$5:$O$8,13,0))</f>
        <v>1</v>
      </c>
      <c r="BD50" s="264"/>
      <c r="BE50" s="264"/>
      <c r="BF50" s="351">
        <f>IF(' '!$L$9=0,"",VLOOKUP(' '!B6,' '!$C$5:$O$8,5,0))</f>
        <v>4</v>
      </c>
      <c r="BG50" s="351"/>
      <c r="BH50" s="124" t="str">
        <f>IF(' '!$L$9=0,"",":")</f>
        <v>:</v>
      </c>
      <c r="BI50" s="347">
        <f>IF(' '!$L$9=0,"",VLOOKUP(' '!B6,' '!$C$5:$O$8,6,0))</f>
        <v>2</v>
      </c>
      <c r="BJ50" s="264"/>
      <c r="BK50" s="348">
        <f>IF(' '!$L$9=0,"",BF50-BI50)</f>
        <v>2</v>
      </c>
      <c r="BL50" s="348"/>
      <c r="BM50" s="349"/>
      <c r="BN50" s="264">
        <f>IF(' '!$L$9=0,"",VLOOKUP(' '!B6,' '!$C$5:$O$8,7,0))</f>
        <v>4</v>
      </c>
      <c r="BO50" s="264"/>
      <c r="BP50" s="266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298"/>
      <c r="D51" s="298"/>
      <c r="E51" s="298"/>
      <c r="F51" s="298"/>
      <c r="G51" s="298"/>
      <c r="H51" s="298"/>
      <c r="I51" s="298"/>
      <c r="K51" s="365">
        <f>IF(' '!$L$9=0,"",IF(VLOOKUP(' '!B7,' '!$C$5:$E$8,3,0)=MAX(K$49:K50),"",' '!B7))</f>
        <v>3</v>
      </c>
      <c r="L51" s="366"/>
      <c r="M51" s="236" t="str">
        <f>IF(' '!$L$9=0,D21,VLOOKUP(' '!B7,' '!$C$5:$O$8,4,0))</f>
        <v>VfR 08 Oberhausen 1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67" t="str">
        <f>IF(AND(M51&amp;$AH$41=VLOOKUP(M51&amp;$AH$41,' '!$D$23:$H$46,1,0),VLOOKUP(M51&amp;$AH$41,' '!$D$23:$H$46,4,0)&lt;&gt;""),VLOOKUP(M51&amp;$AH$41,' '!$D$23:$H$46,4,0),VLOOKUP(M51&amp;$AH$41,' '!$D$23:$H$46,5,0))</f>
        <v>1:1</v>
      </c>
      <c r="AI51" s="267"/>
      <c r="AJ51" s="273"/>
      <c r="AK51" s="264" t="str">
        <f>IF(AND(M51&amp;$AK$41=VLOOKUP(M51&amp;$AK$41,' '!$D$23:$H$46,1,0),VLOOKUP(M51&amp;$AK$41,' '!$D$23:$H$46,4,0)&lt;&gt;""),VLOOKUP(M51&amp;$AK$41,' '!$D$23:$H$46,4,0),VLOOKUP(M51&amp;$AK$41,' '!$D$23:$H$46,5,0))</f>
        <v>1:1</v>
      </c>
      <c r="AL51" s="264"/>
      <c r="AM51" s="264"/>
      <c r="AN51" s="265"/>
      <c r="AO51" s="265"/>
      <c r="AP51" s="265"/>
      <c r="AQ51" s="266" t="str">
        <f>IF(AND(M51&amp;$AQ$41=VLOOKUP(M51&amp;$AQ$41,' '!$D$23:$H$46,1,0),VLOOKUP(M51&amp;$AQ$41,' '!$D$23:$H$46,4,0)&lt;&gt;""),VLOOKUP(M51&amp;$AQ$41,' '!$D$23:$H$46,4,0),VLOOKUP(M51&amp;$AQ$41,' '!$D$23:$H$46,5,0))</f>
        <v>0:0</v>
      </c>
      <c r="AR51" s="267"/>
      <c r="AS51" s="267"/>
      <c r="AT51" s="267">
        <f>IF(' '!$L$9=0,"",VLOOKUP(' '!B7,' '!$C$5:$O$8,10,0))</f>
        <v>3</v>
      </c>
      <c r="AU51" s="267"/>
      <c r="AV51" s="273"/>
      <c r="AW51" s="264">
        <f>IF(' '!$L$9=0,"",VLOOKUP(' '!B7,' '!$C$5:$O$8,11,0))</f>
        <v>0</v>
      </c>
      <c r="AX51" s="264"/>
      <c r="AY51" s="264"/>
      <c r="AZ51" s="264">
        <f>IF(' '!$L$9=0,"",VLOOKUP(' '!B7,' '!$C$5:$O$8,12,0))</f>
        <v>3</v>
      </c>
      <c r="BA51" s="264"/>
      <c r="BB51" s="264"/>
      <c r="BC51" s="264">
        <f>IF(' '!$L$9=0,"",VLOOKUP(' '!B7,' '!$C$5:$O$8,13,0))</f>
        <v>0</v>
      </c>
      <c r="BD51" s="264"/>
      <c r="BE51" s="264"/>
      <c r="BF51" s="351">
        <f>IF(' '!$L$9=0,"",VLOOKUP(' '!B7,' '!$C$5:$O$8,5,0))</f>
        <v>2</v>
      </c>
      <c r="BG51" s="351"/>
      <c r="BH51" s="124" t="str">
        <f>IF(' '!$L$9=0,"",":")</f>
        <v>:</v>
      </c>
      <c r="BI51" s="347">
        <f>IF(' '!$L$9=0,"",VLOOKUP(' '!B7,' '!$C$5:$O$8,6,0))</f>
        <v>2</v>
      </c>
      <c r="BJ51" s="264"/>
      <c r="BK51" s="348">
        <f>IF(' '!$L$9=0,"",BF51-BI51)</f>
        <v>0</v>
      </c>
      <c r="BL51" s="348"/>
      <c r="BM51" s="349"/>
      <c r="BN51" s="264">
        <f>IF(' '!$L$9=0,"",VLOOKUP(' '!B7,' '!$C$5:$O$8,7,0))</f>
        <v>3</v>
      </c>
      <c r="BO51" s="264"/>
      <c r="BP51" s="266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298"/>
      <c r="D52" s="298"/>
      <c r="E52" s="298"/>
      <c r="F52" s="298"/>
      <c r="G52" s="298"/>
      <c r="H52" s="298"/>
      <c r="I52" s="298"/>
      <c r="K52" s="362">
        <f>IF(' '!$L$9=0,"",IF(VLOOKUP(' '!B8,' '!$C$5:$E$8,3,0)=MAX(K$49:K51),"",' '!B8))</f>
        <v>4</v>
      </c>
      <c r="L52" s="363"/>
      <c r="M52" s="234" t="str">
        <f>IF(' '!$L$9=0,D22,VLOOKUP(' '!B8,' '!$C$5:$O$8,4,0))</f>
        <v>FC Tannenhof 2</v>
      </c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76" t="str">
        <f>IF(AND(M52&amp;$AH$41=VLOOKUP(M52&amp;$AH$41,' '!$D$23:$H$46,1,0),VLOOKUP(M52&amp;$AH$41,' '!$D$23:$H$46,4,0)&lt;&gt;""),VLOOKUP(M52&amp;$AH$41,' '!$D$23:$H$46,4,0),VLOOKUP(M52&amp;$AH$41,' '!$D$23:$H$46,5,0))</f>
        <v>1:2</v>
      </c>
      <c r="AI52" s="276"/>
      <c r="AJ52" s="277"/>
      <c r="AK52" s="263" t="str">
        <f>IF(AND(M52&amp;$AK$41=VLOOKUP(M52&amp;$AK$41,' '!$D$23:$H$46,1,0),VLOOKUP(M52&amp;$AK$41,' '!$D$23:$H$46,4,0)&lt;&gt;""),VLOOKUP(M52&amp;$AK$41,' '!$D$23:$H$46,4,0),VLOOKUP(M52&amp;$AK$41,' '!$D$23:$H$46,5,0))</f>
        <v>0:3</v>
      </c>
      <c r="AL52" s="263"/>
      <c r="AM52" s="263"/>
      <c r="AN52" s="263" t="str">
        <f>IF(AND(M52&amp;$AN$41=VLOOKUP(M52&amp;$AN$41,' '!$D$23:$H$46,1,0),VLOOKUP(M52&amp;$AN$41,' '!$D$23:$H$46,4,0)&lt;&gt;""),VLOOKUP(M52&amp;$AN$41,' '!$D$23:$H$46,4,0),VLOOKUP(M52&amp;$AN$41,' '!$D$23:$H$46,5,0))</f>
        <v>0:0</v>
      </c>
      <c r="AO52" s="263"/>
      <c r="AP52" s="263"/>
      <c r="AQ52" s="268"/>
      <c r="AR52" s="269"/>
      <c r="AS52" s="269"/>
      <c r="AT52" s="276">
        <f>IF(' '!$L$9=0,"",VLOOKUP(' '!B8,' '!$C$5:$O$8,10,0))</f>
        <v>3</v>
      </c>
      <c r="AU52" s="276"/>
      <c r="AV52" s="277"/>
      <c r="AW52" s="263">
        <f>IF(' '!$L$9=0,"",VLOOKUP(' '!B8,' '!$C$5:$O$8,11,0))</f>
        <v>0</v>
      </c>
      <c r="AX52" s="263"/>
      <c r="AY52" s="263"/>
      <c r="AZ52" s="263">
        <f>IF(' '!$L$9=0,"",VLOOKUP(' '!B8,' '!$C$5:$O$8,12,0))</f>
        <v>1</v>
      </c>
      <c r="BA52" s="263"/>
      <c r="BB52" s="263"/>
      <c r="BC52" s="263">
        <f>IF(' '!$L$9=0,"",VLOOKUP(' '!B8,' '!$C$5:$O$8,13,0))</f>
        <v>2</v>
      </c>
      <c r="BD52" s="263"/>
      <c r="BE52" s="263"/>
      <c r="BF52" s="357">
        <f>IF(' '!$L$9=0,"",VLOOKUP(' '!B8,' '!$C$5:$O$8,5,0))</f>
        <v>1</v>
      </c>
      <c r="BG52" s="357"/>
      <c r="BH52" s="125" t="str">
        <f>IF(' '!$L$9=0,"",":")</f>
        <v>:</v>
      </c>
      <c r="BI52" s="358">
        <f>IF(' '!$L$9=0,"",VLOOKUP(' '!B8,' '!$C$5:$O$8,6,0))</f>
        <v>5</v>
      </c>
      <c r="BJ52" s="263"/>
      <c r="BK52" s="376">
        <f>IF(' '!$L$9=0,"",BF52-BI52)</f>
        <v>-4</v>
      </c>
      <c r="BL52" s="376"/>
      <c r="BM52" s="377"/>
      <c r="BN52" s="263">
        <f>IF(' '!$L$9=0,"",VLOOKUP(' '!B8,' '!$C$5:$O$8,7,0))</f>
        <v>1</v>
      </c>
      <c r="BO52" s="263"/>
      <c r="BP52" s="374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78" t="str">
        <f>M62</f>
        <v>GW Vernum 1</v>
      </c>
      <c r="AI54" s="251"/>
      <c r="AJ54" s="251"/>
      <c r="AK54" s="251" t="str">
        <f>M63</f>
        <v>FC Tannenhof 1</v>
      </c>
      <c r="AL54" s="251"/>
      <c r="AM54" s="251"/>
      <c r="AN54" s="251" t="str">
        <f>M64</f>
        <v>GW Vernum 3</v>
      </c>
      <c r="AO54" s="251"/>
      <c r="AP54" s="251"/>
      <c r="AQ54" s="251" t="str">
        <f>M65</f>
        <v>VfR 08 Oberhausen 2</v>
      </c>
      <c r="AR54" s="251"/>
      <c r="AS54" s="252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79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4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79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4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79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4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79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4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79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4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299" t="s">
        <v>16</v>
      </c>
      <c r="D60" s="300"/>
      <c r="E60" s="300"/>
      <c r="F60" s="300"/>
      <c r="G60" s="300"/>
      <c r="H60" s="300"/>
      <c r="I60" s="301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79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4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02" t="s">
        <v>17</v>
      </c>
      <c r="D61" s="303"/>
      <c r="E61" s="303"/>
      <c r="F61" s="304"/>
      <c r="G61" s="302" t="s">
        <v>18</v>
      </c>
      <c r="H61" s="303"/>
      <c r="I61" s="304"/>
      <c r="K61" s="387" t="str">
        <f>IF(' '!L18=0,AC18,IF(' '!B18&lt;&gt;' '!L18,"es liegen nicht alle Ergebnisse vor",AC18))</f>
        <v>Gruppe B</v>
      </c>
      <c r="L61" s="388"/>
      <c r="M61" s="388"/>
      <c r="N61" s="388"/>
      <c r="O61" s="388"/>
      <c r="P61" s="388"/>
      <c r="Q61" s="388"/>
      <c r="R61" s="388"/>
      <c r="S61" s="388"/>
      <c r="T61" s="388"/>
      <c r="U61" s="388"/>
      <c r="V61" s="388"/>
      <c r="W61" s="388"/>
      <c r="X61" s="388"/>
      <c r="Y61" s="388"/>
      <c r="Z61" s="388"/>
      <c r="AA61" s="388"/>
      <c r="AB61" s="388"/>
      <c r="AC61" s="388"/>
      <c r="AD61" s="388"/>
      <c r="AE61" s="388"/>
      <c r="AF61" s="388"/>
      <c r="AG61" s="389"/>
      <c r="AH61" s="280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6"/>
      <c r="AT61" s="367" t="s">
        <v>19</v>
      </c>
      <c r="AU61" s="355"/>
      <c r="AV61" s="355"/>
      <c r="AW61" s="355" t="s">
        <v>20</v>
      </c>
      <c r="AX61" s="355"/>
      <c r="AY61" s="355"/>
      <c r="AZ61" s="355" t="s">
        <v>21</v>
      </c>
      <c r="BA61" s="355"/>
      <c r="BB61" s="355"/>
      <c r="BC61" s="355" t="s">
        <v>22</v>
      </c>
      <c r="BD61" s="355"/>
      <c r="BE61" s="355"/>
      <c r="BF61" s="355" t="s">
        <v>23</v>
      </c>
      <c r="BG61" s="355"/>
      <c r="BH61" s="355"/>
      <c r="BI61" s="355"/>
      <c r="BJ61" s="355"/>
      <c r="BK61" s="355" t="s">
        <v>24</v>
      </c>
      <c r="BL61" s="355"/>
      <c r="BM61" s="378"/>
      <c r="BN61" s="355" t="s">
        <v>25</v>
      </c>
      <c r="BO61" s="355"/>
      <c r="BP61" s="375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298"/>
      <c r="D62" s="298"/>
      <c r="E62" s="298"/>
      <c r="F62" s="298"/>
      <c r="G62" s="298"/>
      <c r="H62" s="298"/>
      <c r="I62" s="298"/>
      <c r="K62" s="240">
        <f>IF(' '!$L$18=0,"",1)</f>
        <v>1</v>
      </c>
      <c r="L62" s="241"/>
      <c r="M62" s="238" t="str">
        <f>IF(' '!$L$18=0,AC19,VLOOKUP(' '!B14,' '!$C$14:$O$17,4,0))</f>
        <v>GW Vernum 1</v>
      </c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74"/>
      <c r="AI62" s="274"/>
      <c r="AJ62" s="275"/>
      <c r="AK62" s="272" t="str">
        <f>IF(AND(M62&amp;$AK$54=VLOOKUP(M62&amp;$AK$54,' '!$D$23:$H$46,1,0),VLOOKUP(M62&amp;$AK$54,' '!$D$23:$H$46,4,0)&lt;&gt;""),VLOOKUP(M62&amp;$AK$54,' '!$D$23:$H$46,4,0),VLOOKUP(M62&amp;$AK$54,' '!$D$23:$H$46,5,0))</f>
        <v>2:1</v>
      </c>
      <c r="AL62" s="272"/>
      <c r="AM62" s="272"/>
      <c r="AN62" s="272" t="str">
        <f>IF(AND(M62&amp;$AN$54=VLOOKUP(M62&amp;$AN$54,' '!$D$23:$H$46,1,0),VLOOKUP(M62&amp;$AN$54,' '!$D$23:$H$46,4,0)&lt;&gt;""),VLOOKUP(M62&amp;$AN$54,' '!$D$23:$H$46,4,0),VLOOKUP(M62&amp;$AN$54,' '!$D$23:$H$46,5,0))</f>
        <v>2:1</v>
      </c>
      <c r="AO62" s="272"/>
      <c r="AP62" s="272"/>
      <c r="AQ62" s="270" t="str">
        <f>IF(AND(M62&amp;$AQ$54=VLOOKUP(M62&amp;$AQ$54,' '!$D$23:$H$46,1,0),VLOOKUP(M62&amp;$AQ$54,' '!$D$23:$H$46,4,0)&lt;&gt;""),VLOOKUP(M62&amp;$AQ$54,' '!$D$23:$H$46,4,0),VLOOKUP(M62&amp;$AQ$54,' '!$D$23:$H$46,5,0))</f>
        <v>0:0</v>
      </c>
      <c r="AR62" s="271"/>
      <c r="AS62" s="271"/>
      <c r="AT62" s="271">
        <f>IF(' '!$L$18=0,"",VLOOKUP(' '!B14,' '!$C$14:$O$17,10,0))</f>
        <v>3</v>
      </c>
      <c r="AU62" s="271"/>
      <c r="AV62" s="364"/>
      <c r="AW62" s="359">
        <f>IF(' '!$L$18=0,"",VLOOKUP(' '!B14,' '!$C$14:$O$17,11,0))</f>
        <v>2</v>
      </c>
      <c r="AX62" s="360"/>
      <c r="AY62" s="361"/>
      <c r="AZ62" s="359">
        <f>IF(' '!$L$18=0,"",VLOOKUP(' '!B14,' '!$C$14:$O$17,12,0))</f>
        <v>1</v>
      </c>
      <c r="BA62" s="360"/>
      <c r="BB62" s="361"/>
      <c r="BC62" s="359">
        <f>IF(' '!$L$18=0,"",VLOOKUP(' '!B14,' '!$C$14:$O$17,13,0))</f>
        <v>0</v>
      </c>
      <c r="BD62" s="360"/>
      <c r="BE62" s="361"/>
      <c r="BF62" s="360">
        <f>IF(' '!$L$18=0,"",VLOOKUP(' '!B14,' '!$C$14:$O$17,5,0))</f>
        <v>4</v>
      </c>
      <c r="BG62" s="360"/>
      <c r="BH62" s="123" t="str">
        <f>IF(' '!$L$18=0,"",":")</f>
        <v>:</v>
      </c>
      <c r="BI62" s="361">
        <f>IF(' '!$L$18=0,"",VLOOKUP(' '!B14,' '!$C$14:$O$17,6,0))</f>
        <v>2</v>
      </c>
      <c r="BJ62" s="272"/>
      <c r="BK62" s="372">
        <f>IF(' '!$L$18=0,"",BF62-BI62)</f>
        <v>2</v>
      </c>
      <c r="BL62" s="372"/>
      <c r="BM62" s="373"/>
      <c r="BN62" s="359">
        <f>IF(' '!$L$18=0,"",VLOOKUP(' '!B14,' '!$C$14:$O$17,7,0))</f>
        <v>7</v>
      </c>
      <c r="BO62" s="360"/>
      <c r="BP62" s="36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298"/>
      <c r="D63" s="298"/>
      <c r="E63" s="298"/>
      <c r="F63" s="298"/>
      <c r="G63" s="298"/>
      <c r="H63" s="298"/>
      <c r="I63" s="298"/>
      <c r="J63" s="21"/>
      <c r="K63" s="365">
        <f>IF(' '!$L$18=0,"",IF(VLOOKUP(' '!B15,' '!$C$14:$E$17,3,0)=MAX(K$62:K62),"",' '!B15))</f>
        <v>2</v>
      </c>
      <c r="L63" s="366"/>
      <c r="M63" s="236" t="str">
        <f>IF(' '!$L$18=0,AC20,VLOOKUP(' '!B15,' '!$C$14:$O$17,4,0))</f>
        <v>FC Tannenhof 1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67" t="str">
        <f>IF(AND(M63&amp;$AH$54=VLOOKUP(M63&amp;$AH$54,' '!$D$23:$H$46,1,0),VLOOKUP(M63&amp;$AH$54,' '!$D$23:$H$46,4,0)&lt;&gt;""),VLOOKUP(M63&amp;$AH$54,' '!$D$23:$H$46,4,0),VLOOKUP(M63&amp;$AH$54,' '!$D$23:$H$46,5,0))</f>
        <v>1:2</v>
      </c>
      <c r="AI63" s="267"/>
      <c r="AJ63" s="273"/>
      <c r="AK63" s="265"/>
      <c r="AL63" s="265"/>
      <c r="AM63" s="265"/>
      <c r="AN63" s="264" t="str">
        <f>IF(AND(M63&amp;$AN$54=VLOOKUP(M63&amp;$AN$54,' '!$D$23:$H$46,1,0),VLOOKUP(M63&amp;$AN$54,' '!$D$23:$H$46,4,0)&lt;&gt;""),VLOOKUP(M63&amp;$AN$54,' '!$D$23:$H$46,4,0),VLOOKUP(M63&amp;$AN$54,' '!$D$23:$H$46,5,0))</f>
        <v>2:0</v>
      </c>
      <c r="AO63" s="264"/>
      <c r="AP63" s="264"/>
      <c r="AQ63" s="266" t="str">
        <f>IF(AND(M63&amp;$AQ$54=VLOOKUP(M63&amp;$AQ$54,' '!$D$23:$H$46,1,0),VLOOKUP(M63&amp;$AQ$54,' '!$D$23:$H$46,4,0)&lt;&gt;""),VLOOKUP(M63&amp;$AQ$54,' '!$D$23:$H$46,4,0),VLOOKUP(M63&amp;$AQ$54,' '!$D$23:$H$46,5,0))</f>
        <v>0:0</v>
      </c>
      <c r="AR63" s="267"/>
      <c r="AS63" s="267"/>
      <c r="AT63" s="267">
        <f>IF(' '!$L$18=0,"",VLOOKUP(' '!B15,' '!$C$14:$O$17,10,0))</f>
        <v>3</v>
      </c>
      <c r="AU63" s="267"/>
      <c r="AV63" s="273"/>
      <c r="AW63" s="350">
        <f>IF(' '!$L$18=0,"",VLOOKUP(' '!B15,' '!$C$14:$O$17,11,0))</f>
        <v>1</v>
      </c>
      <c r="AX63" s="351"/>
      <c r="AY63" s="347"/>
      <c r="AZ63" s="350">
        <f>IF(' '!$L$18=0,"",VLOOKUP(' '!B15,' '!$C$14:$O$17,12,0))</f>
        <v>1</v>
      </c>
      <c r="BA63" s="351"/>
      <c r="BB63" s="347"/>
      <c r="BC63" s="350">
        <f>IF(' '!$L$18=0,"",VLOOKUP(' '!B15,' '!$C$14:$O$17,13,0))</f>
        <v>1</v>
      </c>
      <c r="BD63" s="351"/>
      <c r="BE63" s="347"/>
      <c r="BF63" s="351">
        <f>IF(' '!$L$18=0,"",VLOOKUP(' '!B15,' '!$C$14:$O$17,5,0))</f>
        <v>3</v>
      </c>
      <c r="BG63" s="351"/>
      <c r="BH63" s="124" t="str">
        <f>IF(' '!$L$18=0,"",":")</f>
        <v>:</v>
      </c>
      <c r="BI63" s="347">
        <f>IF(' '!$L$18=0,"",VLOOKUP(' '!B15,' '!$C$14:$O$17,6,0))</f>
        <v>2</v>
      </c>
      <c r="BJ63" s="264"/>
      <c r="BK63" s="348">
        <f>IF(' '!$L$18=0,"",BF63-BI63)</f>
        <v>1</v>
      </c>
      <c r="BL63" s="348"/>
      <c r="BM63" s="349"/>
      <c r="BN63" s="350">
        <f>IF(' '!$L$18=0,"",VLOOKUP(' '!B15,' '!$C$14:$O$17,7,0))</f>
        <v>4</v>
      </c>
      <c r="BO63" s="351"/>
      <c r="BP63" s="380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298"/>
      <c r="D64" s="298"/>
      <c r="E64" s="298"/>
      <c r="F64" s="298"/>
      <c r="G64" s="298"/>
      <c r="H64" s="298"/>
      <c r="I64" s="298"/>
      <c r="K64" s="365">
        <f>IF(' '!$L$18=0,"",IF(VLOOKUP(' '!B16,' '!$C$14:$E$17,3,0)=MAX(K$62:K63),"",' '!B16))</f>
        <v>3</v>
      </c>
      <c r="L64" s="366"/>
      <c r="M64" s="236" t="str">
        <f>IF(' '!$L$18=0,AC21,VLOOKUP(' '!B16,' '!$C$14:$O$17,4,0))</f>
        <v>GW Vernum 3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67" t="str">
        <f>IF(AND(M64&amp;$AH$54=VLOOKUP(M64&amp;$AH$54,' '!$D$23:$H$46,1,0),VLOOKUP(M64&amp;$AH$54,' '!$D$23:$H$46,4,0)&lt;&gt;""),VLOOKUP(M64&amp;$AH$54,' '!$D$23:$H$46,4,0),VLOOKUP(M64&amp;$AH$54,' '!$D$23:$H$46,5,0))</f>
        <v>1:2</v>
      </c>
      <c r="AI64" s="267"/>
      <c r="AJ64" s="273"/>
      <c r="AK64" s="264" t="str">
        <f>IF(AND(M64&amp;$AK$54=VLOOKUP(M64&amp;$AK$54,' '!$D$23:$H$46,1,0),VLOOKUP(M64&amp;$AK$54,' '!$D$23:$H$46,4,0)&lt;&gt;""),VLOOKUP(M64&amp;$AK$54,' '!$D$23:$H$46,4,0),VLOOKUP(M64&amp;$AK$54,' '!$D$23:$H$46,5,0))</f>
        <v>0:2</v>
      </c>
      <c r="AL64" s="264"/>
      <c r="AM64" s="264"/>
      <c r="AN64" s="265"/>
      <c r="AO64" s="265"/>
      <c r="AP64" s="265"/>
      <c r="AQ64" s="266" t="str">
        <f>IF(AND(M64&amp;$AQ$54=VLOOKUP(M64&amp;$AQ$54,' '!$D$23:$H$46,1,0),VLOOKUP(M64&amp;$AQ$54,' '!$D$23:$H$46,4,0)&lt;&gt;""),VLOOKUP(M64&amp;$AQ$54,' '!$D$23:$H$46,4,0),VLOOKUP(M64&amp;$AQ$54,' '!$D$23:$H$46,5,0))</f>
        <v>2:1</v>
      </c>
      <c r="AR64" s="267"/>
      <c r="AS64" s="267"/>
      <c r="AT64" s="267">
        <f>IF(' '!$L$18=0,"",VLOOKUP(' '!B16,' '!$C$14:$O$17,10,0))</f>
        <v>3</v>
      </c>
      <c r="AU64" s="267"/>
      <c r="AV64" s="273"/>
      <c r="AW64" s="350">
        <f>IF(' '!$L$18=0,"",VLOOKUP(' '!B16,' '!$C$14:$O$17,11,0))</f>
        <v>1</v>
      </c>
      <c r="AX64" s="351"/>
      <c r="AY64" s="347"/>
      <c r="AZ64" s="350">
        <f>IF(' '!$L$18=0,"",VLOOKUP(' '!B16,' '!$C$14:$O$17,12,0))</f>
        <v>0</v>
      </c>
      <c r="BA64" s="351"/>
      <c r="BB64" s="347"/>
      <c r="BC64" s="350">
        <f>IF(' '!$L$18=0,"",VLOOKUP(' '!B16,' '!$C$14:$O$17,13,0))</f>
        <v>2</v>
      </c>
      <c r="BD64" s="351"/>
      <c r="BE64" s="347"/>
      <c r="BF64" s="351">
        <f>IF(' '!$L$18=0,"",VLOOKUP(' '!B16,' '!$C$14:$O$17,5,0))</f>
        <v>3</v>
      </c>
      <c r="BG64" s="351"/>
      <c r="BH64" s="124" t="str">
        <f>IF(' '!$L$18=0,"",":")</f>
        <v>:</v>
      </c>
      <c r="BI64" s="347">
        <f>IF(' '!$L$18=0,"",VLOOKUP(' '!B16,' '!$C$14:$O$17,6,0))</f>
        <v>5</v>
      </c>
      <c r="BJ64" s="264"/>
      <c r="BK64" s="348">
        <f>IF(' '!$L$18=0,"",BF64-BI64)</f>
        <v>-2</v>
      </c>
      <c r="BL64" s="348"/>
      <c r="BM64" s="349"/>
      <c r="BN64" s="350">
        <f>IF(' '!$L$18=0,"",VLOOKUP(' '!B16,' '!$C$14:$O$17,7,0))</f>
        <v>3</v>
      </c>
      <c r="BO64" s="351"/>
      <c r="BP64" s="380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298"/>
      <c r="D65" s="298"/>
      <c r="E65" s="298"/>
      <c r="F65" s="298"/>
      <c r="G65" s="298"/>
      <c r="H65" s="298"/>
      <c r="I65" s="298"/>
      <c r="K65" s="362">
        <f>IF(' '!$L$18=0,"",IF(VLOOKUP(' '!B17,' '!$C$14:$E$17,3,0)=MAX(K$62:K64),"",' '!B17))</f>
        <v>4</v>
      </c>
      <c r="L65" s="363"/>
      <c r="M65" s="234" t="str">
        <f>IF(' '!$L$18=0,AC22,VLOOKUP(' '!B17,' '!$C$14:$O$17,4,0))</f>
        <v>VfR 08 Oberhausen 2</v>
      </c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76" t="str">
        <f>IF(AND(M65&amp;$AH$54=VLOOKUP(M65&amp;$AH$54,' '!$D$23:$H$46,1,0),VLOOKUP(M65&amp;$AH$54,' '!$D$23:$H$46,4,0)&lt;&gt;""),VLOOKUP(M65&amp;$AH$54,' '!$D$23:$H$46,4,0),VLOOKUP(M65&amp;$AH$54,' '!$D$23:$H$46,5,0))</f>
        <v>0:0</v>
      </c>
      <c r="AI65" s="276"/>
      <c r="AJ65" s="277"/>
      <c r="AK65" s="263" t="str">
        <f>IF(AND(M65&amp;$AK$54=VLOOKUP(M65&amp;$AK$54,' '!$D$23:$H$46,1,0),VLOOKUP(M65&amp;$AK$54,' '!$D$23:$H$46,4,0)&lt;&gt;""),VLOOKUP(M65&amp;$AK$54,' '!$D$23:$H$46,4,0),VLOOKUP(M65&amp;$AK$54,' '!$D$23:$H$46,5,0))</f>
        <v>0:0</v>
      </c>
      <c r="AL65" s="263"/>
      <c r="AM65" s="263"/>
      <c r="AN65" s="263" t="str">
        <f>IF(AND(M65&amp;$AN$54=VLOOKUP(M65&amp;$AN$54,' '!$D$23:$H$46,1,0),VLOOKUP(M65&amp;$AN$54,' '!$D$23:$H$46,4,0)&lt;&gt;""),VLOOKUP(M65&amp;$AN$54,' '!$D$23:$H$46,4,0),VLOOKUP(M65&amp;$AN$54,' '!$D$23:$H$46,5,0))</f>
        <v>1:2</v>
      </c>
      <c r="AO65" s="263"/>
      <c r="AP65" s="263"/>
      <c r="AQ65" s="268"/>
      <c r="AR65" s="269"/>
      <c r="AS65" s="269"/>
      <c r="AT65" s="276">
        <f>IF(' '!$L$18=0,"",VLOOKUP(' '!B17,' '!$C$14:$O$17,10,0))</f>
        <v>3</v>
      </c>
      <c r="AU65" s="276"/>
      <c r="AV65" s="277"/>
      <c r="AW65" s="356">
        <f>IF(' '!$L$18=0,"",VLOOKUP(' '!B17,' '!$C$14:$O$17,11,0))</f>
        <v>0</v>
      </c>
      <c r="AX65" s="357"/>
      <c r="AY65" s="358"/>
      <c r="AZ65" s="356">
        <f>IF(' '!$L$18=0,"",VLOOKUP(' '!B17,' '!$C$14:$O$17,12,0))</f>
        <v>2</v>
      </c>
      <c r="BA65" s="357"/>
      <c r="BB65" s="358"/>
      <c r="BC65" s="356">
        <f>IF(' '!$L$18=0,"",VLOOKUP(' '!B17,' '!$C$14:$O$17,13,0))</f>
        <v>1</v>
      </c>
      <c r="BD65" s="357"/>
      <c r="BE65" s="358"/>
      <c r="BF65" s="354">
        <f>IF(' '!$L$18=0,"",VLOOKUP(' '!B17,' '!$C$14:$O$17,5,0))</f>
        <v>1</v>
      </c>
      <c r="BG65" s="354"/>
      <c r="BH65" s="137" t="str">
        <f>IF(' '!$L$18=0,"",":")</f>
        <v>:</v>
      </c>
      <c r="BI65" s="352">
        <f>IF(' '!$L$18=0,"",VLOOKUP(' '!B17,' '!$C$14:$O$17,6,0))</f>
        <v>2</v>
      </c>
      <c r="BJ65" s="353"/>
      <c r="BK65" s="345">
        <f>IF(' '!$L$18=0,"",BF65-BI65)</f>
        <v>-1</v>
      </c>
      <c r="BL65" s="345"/>
      <c r="BM65" s="346"/>
      <c r="BN65" s="356">
        <f>IF(' '!$L$18=0,"",VLOOKUP(' '!B17,' '!$C$14:$O$17,7,0))</f>
        <v>2</v>
      </c>
      <c r="BO65" s="357"/>
      <c r="BP65" s="379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26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8" t="s">
        <v>62</v>
      </c>
      <c r="C70" s="328"/>
      <c r="D70" s="328"/>
      <c r="E70" s="328"/>
      <c r="F70" s="328"/>
      <c r="G70" s="328"/>
      <c r="H70" s="333">
        <f>H38+TEXT(2*$U$11*($X$11/1440)+($AI$11/1440)+($AW$11/1440),"hh:mm")</f>
        <v>0.55625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41">
        <f>U14</f>
        <v>1</v>
      </c>
      <c r="V70" s="341"/>
      <c r="W70" s="134" t="s">
        <v>2</v>
      </c>
      <c r="X70" s="419">
        <f>X11</f>
        <v>15</v>
      </c>
      <c r="Y70" s="419"/>
      <c r="Z70" s="419"/>
      <c r="AA70" s="419"/>
      <c r="AB70" s="419"/>
      <c r="AC70" s="420">
        <f>AC14</f>
      </c>
      <c r="AD70" s="420"/>
      <c r="AE70" s="420"/>
      <c r="AF70" s="420"/>
      <c r="AG70" s="420"/>
      <c r="AH70" s="420"/>
      <c r="AI70" s="400">
        <f>IF(AI14="","",AI14)</f>
        <v>0</v>
      </c>
      <c r="AJ70" s="400"/>
      <c r="AK70" s="400"/>
      <c r="AL70" s="400"/>
      <c r="AM70" s="400"/>
      <c r="AN70" s="328" t="s">
        <v>3</v>
      </c>
      <c r="AO70" s="328"/>
      <c r="AP70" s="328"/>
      <c r="AQ70" s="328"/>
      <c r="AR70" s="328"/>
      <c r="AS70" s="328"/>
      <c r="AT70" s="328"/>
      <c r="AU70" s="328"/>
      <c r="AV70" s="328"/>
      <c r="AW70" s="334">
        <f>AW14</f>
        <v>3</v>
      </c>
      <c r="AX70" s="334"/>
      <c r="AY70" s="334"/>
      <c r="AZ70" s="334"/>
      <c r="BA70" s="334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3" t="s">
        <v>9</v>
      </c>
      <c r="D72" s="229"/>
      <c r="E72" s="229" t="s">
        <v>63</v>
      </c>
      <c r="F72" s="229"/>
      <c r="G72" s="229"/>
      <c r="H72" s="229"/>
      <c r="I72" s="230" t="s">
        <v>27</v>
      </c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8"/>
      <c r="AQ72" s="218"/>
      <c r="AR72" s="218"/>
      <c r="AS72" s="218"/>
      <c r="AT72" s="218"/>
      <c r="AU72" s="218"/>
      <c r="AV72" s="218"/>
      <c r="AW72" s="218"/>
      <c r="AX72" s="218"/>
      <c r="AY72" s="395"/>
      <c r="AZ72" s="229" t="s">
        <v>12</v>
      </c>
      <c r="BA72" s="229"/>
      <c r="BB72" s="229"/>
      <c r="BC72" s="229"/>
      <c r="BD72" s="230"/>
      <c r="BE72" s="217"/>
      <c r="BF72" s="218"/>
      <c r="BG72" s="218"/>
      <c r="BH72" s="219"/>
    </row>
    <row r="73" spans="2:60" ht="18" customHeight="1">
      <c r="B73" s="22"/>
      <c r="C73" s="317">
        <v>13</v>
      </c>
      <c r="D73" s="318"/>
      <c r="E73" s="396">
        <f>$H$14</f>
        <v>0.55625</v>
      </c>
      <c r="F73" s="396"/>
      <c r="G73" s="396"/>
      <c r="H73" s="396"/>
      <c r="I73" s="316" t="str">
        <f>IF(OR(' '!L9=0,' '!B9&lt;&gt;SUM(AT49:AV52)),"",IF(OR(G49=1,G50=1,G51=1,G52=1),VLOOKUP(SMALL($G$49:$I$52,1),$G$49:$AG$52,7,0),IF(AND(SUM(AT49:AV52)=' '!B9,' '!E9=1),M49,"1. Platz Gruppe A nicht eindeutig")))</f>
        <v>GW Vernum 2</v>
      </c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136" t="s">
        <v>14</v>
      </c>
      <c r="AE73" s="288" t="str">
        <f>IF(OR(' '!L18=0,' '!B18&lt;&gt;SUM(AT62:AV65)),"",IF(OR(G62=2,G63=2,G64=2,G65=2),VLOOKUP(SMALL($G$62:$I$65,2),$G$62:$AG$65,7,0),IF(AND(SUM(AT62:AV65)=' '!B18,' '!E19=1),M63,"2. Platz Gruppe B nicht eindeutig")))</f>
        <v>FC Tannenhof 1</v>
      </c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9"/>
      <c r="AZ73" s="386">
        <v>2</v>
      </c>
      <c r="BA73" s="386"/>
      <c r="BB73" s="307"/>
      <c r="BC73" s="310">
        <v>1</v>
      </c>
      <c r="BD73" s="310"/>
      <c r="BE73" s="214"/>
      <c r="BF73" s="215"/>
      <c r="BG73" s="215"/>
      <c r="BH73" s="216"/>
    </row>
    <row r="74" spans="2:60" ht="15.75" thickBot="1">
      <c r="B74" s="22"/>
      <c r="C74" s="319"/>
      <c r="D74" s="320"/>
      <c r="E74" s="397"/>
      <c r="F74" s="397"/>
      <c r="G74" s="397"/>
      <c r="H74" s="397"/>
      <c r="I74" s="313" t="s">
        <v>28</v>
      </c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138"/>
      <c r="AE74" s="314" t="s">
        <v>29</v>
      </c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5"/>
      <c r="AZ74" s="381"/>
      <c r="BA74" s="381"/>
      <c r="BB74" s="381"/>
      <c r="BC74" s="381"/>
      <c r="BD74" s="382"/>
      <c r="BE74" s="220"/>
      <c r="BF74" s="221"/>
      <c r="BG74" s="221"/>
      <c r="BH74" s="222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3" t="s">
        <v>9</v>
      </c>
      <c r="D76" s="229"/>
      <c r="E76" s="229" t="s">
        <v>63</v>
      </c>
      <c r="F76" s="229"/>
      <c r="G76" s="229"/>
      <c r="H76" s="229"/>
      <c r="I76" s="230" t="s">
        <v>30</v>
      </c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395"/>
      <c r="AZ76" s="229" t="s">
        <v>12</v>
      </c>
      <c r="BA76" s="229"/>
      <c r="BB76" s="229"/>
      <c r="BC76" s="229"/>
      <c r="BD76" s="230"/>
      <c r="BE76" s="217"/>
      <c r="BF76" s="218"/>
      <c r="BG76" s="218"/>
      <c r="BH76" s="219"/>
    </row>
    <row r="77" spans="2:60" ht="18" customHeight="1">
      <c r="B77" s="22"/>
      <c r="C77" s="317">
        <v>14</v>
      </c>
      <c r="D77" s="318"/>
      <c r="E77" s="396">
        <f>E73+TEXT($U$14*($X$14/1440)+($AI$14/1440)+($AW$14/1440),"hh:mm")</f>
        <v>0.56875</v>
      </c>
      <c r="F77" s="396"/>
      <c r="G77" s="396"/>
      <c r="H77" s="396"/>
      <c r="I77" s="316" t="str">
        <f>IF(OR(' '!L18=0,' '!B18&lt;&gt;SUM(AT62:AV65)),"",IF(OR(G62=1,G63=1,G64=1,G65=1),VLOOKUP(SMALL($G$62:$I$65,1),$G$62:$AG$65,7,0),IF(AND(SUM(AT62:AV65)=' '!B18,' '!E18=1),M62,"1. Platz Gruppe B nicht eindeutig")))</f>
        <v>GW Vernum 1</v>
      </c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136" t="s">
        <v>14</v>
      </c>
      <c r="AE77" s="288" t="str">
        <f>IF(OR(' '!L9=0,' '!B9&lt;&gt;SUM(AT49:AV52)),"",IF(OR(G49=2,G50=2,G51=2,G52=2),VLOOKUP(SMALL($G$49:$I$52,2),$G$49:$AG$52,7,0),IF(AND(SUM(AT49:AV52)=' '!B9,' '!E10=1),M50,"2. Platz Gruppe A nicht eindeutig")))</f>
        <v>SC Auwel-Holt</v>
      </c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9"/>
      <c r="AZ77" s="386">
        <v>2</v>
      </c>
      <c r="BA77" s="386"/>
      <c r="BB77" s="307"/>
      <c r="BC77" s="310">
        <v>1</v>
      </c>
      <c r="BD77" s="310"/>
      <c r="BE77" s="214"/>
      <c r="BF77" s="215"/>
      <c r="BG77" s="215"/>
      <c r="BH77" s="216"/>
    </row>
    <row r="78" spans="2:60" ht="15.75" thickBot="1">
      <c r="B78" s="22"/>
      <c r="C78" s="319"/>
      <c r="D78" s="320"/>
      <c r="E78" s="397"/>
      <c r="F78" s="397"/>
      <c r="G78" s="397"/>
      <c r="H78" s="397"/>
      <c r="I78" s="313" t="s">
        <v>31</v>
      </c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138"/>
      <c r="AE78" s="314" t="s">
        <v>32</v>
      </c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15"/>
      <c r="AZ78" s="381"/>
      <c r="BA78" s="381"/>
      <c r="BB78" s="381"/>
      <c r="BC78" s="381"/>
      <c r="BD78" s="382"/>
      <c r="BE78" s="220"/>
      <c r="BF78" s="221"/>
      <c r="BG78" s="221"/>
      <c r="BH78" s="222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4" t="s">
        <v>9</v>
      </c>
      <c r="D80" s="312"/>
      <c r="E80" s="312" t="s">
        <v>63</v>
      </c>
      <c r="F80" s="312"/>
      <c r="G80" s="312"/>
      <c r="H80" s="312"/>
      <c r="I80" s="383" t="s">
        <v>33</v>
      </c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  <c r="AA80" s="384"/>
      <c r="AB80" s="384"/>
      <c r="AC80" s="384"/>
      <c r="AD80" s="384"/>
      <c r="AE80" s="384"/>
      <c r="AF80" s="384"/>
      <c r="AG80" s="384"/>
      <c r="AH80" s="384"/>
      <c r="AI80" s="384"/>
      <c r="AJ80" s="384"/>
      <c r="AK80" s="384"/>
      <c r="AL80" s="384"/>
      <c r="AM80" s="384"/>
      <c r="AN80" s="384"/>
      <c r="AO80" s="384"/>
      <c r="AP80" s="384"/>
      <c r="AQ80" s="384"/>
      <c r="AR80" s="384"/>
      <c r="AS80" s="384"/>
      <c r="AT80" s="384"/>
      <c r="AU80" s="384"/>
      <c r="AV80" s="384"/>
      <c r="AW80" s="384"/>
      <c r="AX80" s="384"/>
      <c r="AY80" s="385"/>
      <c r="AZ80" s="312" t="s">
        <v>12</v>
      </c>
      <c r="BA80" s="312"/>
      <c r="BB80" s="312"/>
      <c r="BC80" s="312"/>
      <c r="BD80" s="383"/>
      <c r="BE80" s="390"/>
      <c r="BF80" s="384"/>
      <c r="BG80" s="384"/>
      <c r="BH80" s="391"/>
    </row>
    <row r="81" spans="2:60" ht="18" customHeight="1">
      <c r="B81" s="22"/>
      <c r="C81" s="317">
        <v>15</v>
      </c>
      <c r="D81" s="318"/>
      <c r="E81" s="396">
        <f>E77+TEXT($U$14*($X$14/1440)+($AI$14/1440)+($AW$14/1440),"hh:mm")</f>
        <v>0.5812499999999999</v>
      </c>
      <c r="F81" s="396"/>
      <c r="G81" s="396"/>
      <c r="H81" s="396"/>
      <c r="I81" s="316" t="str">
        <f>IF(OR(' '!L9=0,' '!B9&lt;&gt;SUM(AT49:AV52)),"",IF(OR(G49=4,G50=4,G51=4,G52=4),VLOOKUP(SMALL($G$49:$I$52,4),$G$49:$AG$52,7,0),IF(AND(SUM(AT49:AV52)=' '!B9,' '!E12=1),M52,"4. Platz Gruppe A nicht eindeutig")))</f>
        <v>FC Tannenhof 2</v>
      </c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136" t="s">
        <v>14</v>
      </c>
      <c r="AE81" s="288" t="str">
        <f>IF(OR(' '!L18=0,' '!B18&lt;&gt;SUM(AT62:AV65)),"",IF(OR(G62=4,G63=4,G64=4,G65=4),VLOOKUP(SMALL($G$62:$I$65,4),$G$62:$AG$65,7,0),IF(AND(SUM(AT62:AV65)=' '!B18,' '!E21=1),M65,"4. Platz Gruppe B nicht eindeutig")))</f>
        <v>VfR 08 Oberhausen 2</v>
      </c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9"/>
      <c r="AZ81" s="386">
        <v>2</v>
      </c>
      <c r="BA81" s="386"/>
      <c r="BB81" s="307"/>
      <c r="BC81" s="310">
        <v>1</v>
      </c>
      <c r="BD81" s="310"/>
      <c r="BE81" s="214" t="s">
        <v>58</v>
      </c>
      <c r="BF81" s="215"/>
      <c r="BG81" s="215"/>
      <c r="BH81" s="216"/>
    </row>
    <row r="82" spans="2:60" ht="15.75" thickBot="1">
      <c r="B82" s="22"/>
      <c r="C82" s="319"/>
      <c r="D82" s="320"/>
      <c r="E82" s="397"/>
      <c r="F82" s="397"/>
      <c r="G82" s="397"/>
      <c r="H82" s="397"/>
      <c r="I82" s="313" t="s">
        <v>34</v>
      </c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138"/>
      <c r="AE82" s="314" t="s">
        <v>35</v>
      </c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5"/>
      <c r="AZ82" s="381"/>
      <c r="BA82" s="381"/>
      <c r="BB82" s="381"/>
      <c r="BC82" s="381"/>
      <c r="BD82" s="382"/>
      <c r="BE82" s="220"/>
      <c r="BF82" s="221"/>
      <c r="BG82" s="221"/>
      <c r="BH82" s="222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4" t="s">
        <v>9</v>
      </c>
      <c r="D84" s="312"/>
      <c r="E84" s="312" t="s">
        <v>63</v>
      </c>
      <c r="F84" s="312"/>
      <c r="G84" s="312"/>
      <c r="H84" s="312"/>
      <c r="I84" s="383" t="s">
        <v>36</v>
      </c>
      <c r="J84" s="384"/>
      <c r="K84" s="384"/>
      <c r="L84" s="384"/>
      <c r="M84" s="384"/>
      <c r="N84" s="384"/>
      <c r="O84" s="384"/>
      <c r="P84" s="384"/>
      <c r="Q84" s="384"/>
      <c r="R84" s="384"/>
      <c r="S84" s="384"/>
      <c r="T84" s="384"/>
      <c r="U84" s="384"/>
      <c r="V84" s="384"/>
      <c r="W84" s="384"/>
      <c r="X84" s="384"/>
      <c r="Y84" s="384"/>
      <c r="Z84" s="384"/>
      <c r="AA84" s="384"/>
      <c r="AB84" s="384"/>
      <c r="AC84" s="384"/>
      <c r="AD84" s="384"/>
      <c r="AE84" s="384"/>
      <c r="AF84" s="384"/>
      <c r="AG84" s="384"/>
      <c r="AH84" s="384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12" t="s">
        <v>12</v>
      </c>
      <c r="BA84" s="312"/>
      <c r="BB84" s="312"/>
      <c r="BC84" s="312"/>
      <c r="BD84" s="383"/>
      <c r="BE84" s="390"/>
      <c r="BF84" s="384"/>
      <c r="BG84" s="384"/>
      <c r="BH84" s="391"/>
    </row>
    <row r="85" spans="2:86" s="36" customFormat="1" ht="18" customHeight="1">
      <c r="B85" s="22"/>
      <c r="C85" s="317">
        <v>16</v>
      </c>
      <c r="D85" s="318"/>
      <c r="E85" s="396">
        <f>E81+TEXT($U$14*($X$14/1440)+($AI$14/1440)+($AW$14/1440),"hh:mm")</f>
        <v>0.5937499999999999</v>
      </c>
      <c r="F85" s="396"/>
      <c r="G85" s="396"/>
      <c r="H85" s="396"/>
      <c r="I85" s="316" t="str">
        <f>IF(OR(' '!L9=0,' '!B9&lt;&gt;SUM(AT49:AV52)),"",IF(OR(G49=3,G50=3,G51=3,G52=3),VLOOKUP(SMALL($G$49:$I$52,3),$G$49:$AG$52,7,0),IF(AND(SUM(AT49:AV52)=' '!B9,' '!E11=1),M51,"3. Platz Gruppe A nicht eindeutig")))</f>
        <v>VfR 08 Oberhausen 1</v>
      </c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136" t="s">
        <v>14</v>
      </c>
      <c r="AE85" s="288" t="str">
        <f>IF(OR(' '!L18=0,' '!B18&lt;&gt;SUM(AT62:AV65)),"",IF(OR(G62=3,G63=3,G64=3,G65=3),VLOOKUP(SMALL($G$62:$I$65,3),$G$62:$AG$65,7,0),IF(AND(SUM(AT62:AV65)=' '!B18,' '!E20=1),M64,"3. Platz Gruppe B nicht eindeutig")))</f>
        <v>GW Vernum 3</v>
      </c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9"/>
      <c r="AZ85" s="386">
        <v>3</v>
      </c>
      <c r="BA85" s="386"/>
      <c r="BB85" s="307"/>
      <c r="BC85" s="310">
        <v>0</v>
      </c>
      <c r="BD85" s="310"/>
      <c r="BE85" s="214"/>
      <c r="BF85" s="215"/>
      <c r="BG85" s="215"/>
      <c r="BH85" s="216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9"/>
      <c r="D86" s="320"/>
      <c r="E86" s="397"/>
      <c r="F86" s="397"/>
      <c r="G86" s="397"/>
      <c r="H86" s="397"/>
      <c r="I86" s="313" t="s">
        <v>37</v>
      </c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138"/>
      <c r="AE86" s="314" t="s">
        <v>38</v>
      </c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15"/>
      <c r="AZ86" s="381"/>
      <c r="BA86" s="381"/>
      <c r="BB86" s="381"/>
      <c r="BC86" s="381"/>
      <c r="BD86" s="382"/>
      <c r="BE86" s="220"/>
      <c r="BF86" s="221"/>
      <c r="BG86" s="221"/>
      <c r="BH86" s="222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1" t="s">
        <v>9</v>
      </c>
      <c r="D88" s="322"/>
      <c r="E88" s="322" t="s">
        <v>63</v>
      </c>
      <c r="F88" s="322"/>
      <c r="G88" s="322"/>
      <c r="H88" s="322"/>
      <c r="I88" s="398" t="s">
        <v>39</v>
      </c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  <c r="AA88" s="393"/>
      <c r="AB88" s="393"/>
      <c r="AC88" s="393"/>
      <c r="AD88" s="393"/>
      <c r="AE88" s="393"/>
      <c r="AF88" s="393"/>
      <c r="AG88" s="393"/>
      <c r="AH88" s="393"/>
      <c r="AI88" s="393"/>
      <c r="AJ88" s="393"/>
      <c r="AK88" s="393"/>
      <c r="AL88" s="393"/>
      <c r="AM88" s="393"/>
      <c r="AN88" s="393"/>
      <c r="AO88" s="393"/>
      <c r="AP88" s="393"/>
      <c r="AQ88" s="393"/>
      <c r="AR88" s="393"/>
      <c r="AS88" s="393"/>
      <c r="AT88" s="393"/>
      <c r="AU88" s="393"/>
      <c r="AV88" s="393"/>
      <c r="AW88" s="393"/>
      <c r="AX88" s="393"/>
      <c r="AY88" s="399"/>
      <c r="AZ88" s="322" t="s">
        <v>12</v>
      </c>
      <c r="BA88" s="322"/>
      <c r="BB88" s="322"/>
      <c r="BC88" s="322"/>
      <c r="BD88" s="398"/>
      <c r="BE88" s="392"/>
      <c r="BF88" s="393"/>
      <c r="BG88" s="393"/>
      <c r="BH88" s="39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7">
        <v>17</v>
      </c>
      <c r="D89" s="318"/>
      <c r="E89" s="396">
        <f>E85+TEXT($U$14*($X$14/1440)+($AI$14/1440)+($AW$14/1440),"hh:mm")</f>
        <v>0.6062499999999998</v>
      </c>
      <c r="F89" s="396"/>
      <c r="G89" s="396"/>
      <c r="H89" s="396"/>
      <c r="I89" s="316" t="str">
        <f>IF(ISBLANK(AZ73)," ",IF(AZ73&lt;BC73,I73,IF(AZ73&lt;BC73,AE73,AE73)))</f>
        <v>FC Tannenhof 1</v>
      </c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136" t="s">
        <v>14</v>
      </c>
      <c r="AE89" s="288" t="str">
        <f>IF(ISBLANK(AZ77)," ",IF(AZ77&lt;BC77,I77,IF(AZ77&lt;BC77,AE77,AE77)))</f>
        <v>SC Auwel-Holt</v>
      </c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9"/>
      <c r="AZ89" s="386">
        <v>0</v>
      </c>
      <c r="BA89" s="386"/>
      <c r="BB89" s="307"/>
      <c r="BC89" s="310">
        <v>4</v>
      </c>
      <c r="BD89" s="310"/>
      <c r="BE89" s="214"/>
      <c r="BF89" s="215"/>
      <c r="BG89" s="215"/>
      <c r="BH89" s="216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9"/>
      <c r="D90" s="320"/>
      <c r="E90" s="397"/>
      <c r="F90" s="397"/>
      <c r="G90" s="397"/>
      <c r="H90" s="397"/>
      <c r="I90" s="313" t="s">
        <v>40</v>
      </c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138"/>
      <c r="AE90" s="314" t="s">
        <v>41</v>
      </c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15"/>
      <c r="AZ90" s="381"/>
      <c r="BA90" s="381"/>
      <c r="BB90" s="381"/>
      <c r="BC90" s="381"/>
      <c r="BD90" s="382"/>
      <c r="BE90" s="220"/>
      <c r="BF90" s="221"/>
      <c r="BG90" s="221"/>
      <c r="BH90" s="222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1" t="s">
        <v>9</v>
      </c>
      <c r="D92" s="322"/>
      <c r="E92" s="322" t="s">
        <v>63</v>
      </c>
      <c r="F92" s="322"/>
      <c r="G92" s="322"/>
      <c r="H92" s="322"/>
      <c r="I92" s="398" t="s">
        <v>42</v>
      </c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  <c r="AA92" s="393"/>
      <c r="AB92" s="393"/>
      <c r="AC92" s="393"/>
      <c r="AD92" s="393"/>
      <c r="AE92" s="393"/>
      <c r="AF92" s="393"/>
      <c r="AG92" s="393"/>
      <c r="AH92" s="393"/>
      <c r="AI92" s="393"/>
      <c r="AJ92" s="393"/>
      <c r="AK92" s="393"/>
      <c r="AL92" s="393"/>
      <c r="AM92" s="393"/>
      <c r="AN92" s="393"/>
      <c r="AO92" s="393"/>
      <c r="AP92" s="393"/>
      <c r="AQ92" s="393"/>
      <c r="AR92" s="393"/>
      <c r="AS92" s="393"/>
      <c r="AT92" s="393"/>
      <c r="AU92" s="393"/>
      <c r="AV92" s="393"/>
      <c r="AW92" s="393"/>
      <c r="AX92" s="393"/>
      <c r="AY92" s="399"/>
      <c r="AZ92" s="322" t="s">
        <v>12</v>
      </c>
      <c r="BA92" s="322"/>
      <c r="BB92" s="322"/>
      <c r="BC92" s="322"/>
      <c r="BD92" s="398"/>
      <c r="BE92" s="392"/>
      <c r="BF92" s="393"/>
      <c r="BG92" s="393"/>
      <c r="BH92" s="39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7">
        <v>18</v>
      </c>
      <c r="D93" s="318"/>
      <c r="E93" s="396">
        <f>E89+TEXT($U$14*($X$14/1440)+($AI$14/1440)+($AW$14/1440),"hh:mm")</f>
        <v>0.6187499999999998</v>
      </c>
      <c r="F93" s="396"/>
      <c r="G93" s="396"/>
      <c r="H93" s="396"/>
      <c r="I93" s="316" t="str">
        <f>IF(ISBLANK(AZ73)," ",IF(AZ73&gt;BC73,I73,IF(AZ73&lt;BC73,AE73," ")))</f>
        <v>GW Vernum 2</v>
      </c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136" t="s">
        <v>14</v>
      </c>
      <c r="AE93" s="288" t="str">
        <f>IF(ISBLANK(AZ77)," ",IF(AZ77&gt;BC77,I77,IF(AZ77&lt;BC77,AE77," ")))</f>
        <v>GW Vernum 1</v>
      </c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9"/>
      <c r="AZ93" s="386">
        <v>3</v>
      </c>
      <c r="BA93" s="386"/>
      <c r="BB93" s="307"/>
      <c r="BC93" s="310">
        <v>4</v>
      </c>
      <c r="BD93" s="310"/>
      <c r="BE93" s="214" t="s">
        <v>58</v>
      </c>
      <c r="BF93" s="215"/>
      <c r="BG93" s="215"/>
      <c r="BH93" s="216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9"/>
      <c r="D94" s="320"/>
      <c r="E94" s="397"/>
      <c r="F94" s="397"/>
      <c r="G94" s="397"/>
      <c r="H94" s="397"/>
      <c r="I94" s="313" t="s">
        <v>43</v>
      </c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138"/>
      <c r="AE94" s="314" t="s">
        <v>44</v>
      </c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15"/>
      <c r="AZ94" s="381"/>
      <c r="BA94" s="381"/>
      <c r="BB94" s="381"/>
      <c r="BC94" s="381"/>
      <c r="BD94" s="382"/>
      <c r="BE94" s="220"/>
      <c r="BF94" s="221"/>
      <c r="BG94" s="221"/>
      <c r="BH94" s="222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45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7" t="s">
        <v>46</v>
      </c>
      <c r="K98" s="418"/>
      <c r="L98" s="410" t="str">
        <f>IF(ISBLANK($BC$93)," ",IF($AZ$93&gt;$BC$93,$I$93,IF($BC$93&gt;$AZ$93,$AE$93)))</f>
        <v>GW Vernum 1</v>
      </c>
      <c r="M98" s="411"/>
      <c r="N98" s="411"/>
      <c r="O98" s="411"/>
      <c r="P98" s="411"/>
      <c r="Q98" s="411"/>
      <c r="R98" s="411"/>
      <c r="S98" s="411"/>
      <c r="T98" s="411"/>
      <c r="U98" s="411"/>
      <c r="V98" s="411"/>
      <c r="W98" s="411"/>
      <c r="X98" s="411"/>
      <c r="Y98" s="411"/>
      <c r="Z98" s="411"/>
      <c r="AA98" s="411"/>
      <c r="AB98" s="411"/>
      <c r="AC98" s="411"/>
      <c r="AD98" s="411"/>
      <c r="AE98" s="411"/>
      <c r="AF98" s="41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3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5" t="s">
        <v>47</v>
      </c>
      <c r="K99" s="416"/>
      <c r="L99" s="407" t="str">
        <f>IF(ISBLANK($BC$93)," ",IF($AZ$93&lt;$BC$93,$I$93,IF($BC$93&lt;$AZ$93,$AE$93)))</f>
        <v>GW Vernum 2</v>
      </c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9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3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5" t="s">
        <v>48</v>
      </c>
      <c r="K100" s="416"/>
      <c r="L100" s="407" t="str">
        <f>IF(ISBLANK($BC$89)," ",IF($AZ$89&gt;$BC$89,$I$89,IF($BC$89&gt;$AZ$89,$AE$89)))</f>
        <v>SC Auwel-Holt</v>
      </c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9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3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5" t="s">
        <v>49</v>
      </c>
      <c r="K101" s="416"/>
      <c r="L101" s="407" t="str">
        <f>IF(ISBLANK($BC$89)," ",IF($AZ$89&lt;$BC$89,$I$89,IF($BC$89&lt;$AZ$89,$AE$89)))</f>
        <v>FC Tannenhof 1</v>
      </c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9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5" t="s">
        <v>50</v>
      </c>
      <c r="K102" s="416"/>
      <c r="L102" s="407" t="str">
        <f>IF(ISBLANK($BC$85)," ",IF($AZ$85&gt;$BC$85,$I$85,IF($BC$85&gt;$AZ$85,$AE$85)))</f>
        <v>VfR 08 Oberhausen 1</v>
      </c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9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5" t="s">
        <v>51</v>
      </c>
      <c r="K103" s="416"/>
      <c r="L103" s="407" t="str">
        <f>IF(ISBLANK($BC$85)," ",IF($AZ$85&lt;$BC$85,$I$85,IF($BC$85&lt;$AZ$85,$AE$85)))</f>
        <v>GW Vernum 3</v>
      </c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9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5" t="s">
        <v>52</v>
      </c>
      <c r="K104" s="416"/>
      <c r="L104" s="407" t="str">
        <f>IF(ISBLANK($BC$81)," ",IF($AZ$81&gt;$BC$81,$I$81,IF($BC$81&gt;$AZ$81,$AE$81)))</f>
        <v>FC Tannenhof 2</v>
      </c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  <c r="AA104" s="408"/>
      <c r="AB104" s="408"/>
      <c r="AC104" s="408"/>
      <c r="AD104" s="408"/>
      <c r="AE104" s="408"/>
      <c r="AF104" s="409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3" t="s">
        <v>53</v>
      </c>
      <c r="K105" s="414"/>
      <c r="L105" s="404" t="str">
        <f>IF(ISBLANK($BC$81)," ",IF($AZ$81&lt;$BC$81,$I$81,IF($BC$81&lt;$AZ$81,$AE$81)))</f>
        <v>VfR 08 Oberhausen 2</v>
      </c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6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195" t="s">
        <v>65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196" t="s">
        <v>66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/>
      <c r="AH109" s="196"/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196" t="s">
        <v>67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196" t="s">
        <v>68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4" t="s">
        <v>69</v>
      </c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  <c r="AA112" s="194"/>
      <c r="AB112" s="194"/>
      <c r="AC112" s="194"/>
      <c r="AD112" s="194"/>
      <c r="AE112" s="194"/>
      <c r="AF112" s="194"/>
      <c r="AG112" s="194"/>
      <c r="AH112" s="194"/>
      <c r="AI112" s="194"/>
      <c r="AJ112" s="194"/>
      <c r="AK112" s="194"/>
      <c r="AL112" s="194"/>
      <c r="AM112" s="194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3" t="s">
        <v>70</v>
      </c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3"/>
      <c r="AQ113" s="193"/>
      <c r="AR113" s="193"/>
      <c r="AS113" s="193"/>
      <c r="AT113" s="193"/>
      <c r="AU113" s="193"/>
      <c r="AV113" s="193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3" t="s">
        <v>71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3" t="s">
        <v>72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3" t="s">
        <v>73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heet="1" scenarios="1" selectLockedCells="1"/>
  <mergeCells count="408">
    <mergeCell ref="AW14:BA14"/>
    <mergeCell ref="J99:K99"/>
    <mergeCell ref="J98:K98"/>
    <mergeCell ref="B14:G14"/>
    <mergeCell ref="H14:K14"/>
    <mergeCell ref="U14:V14"/>
    <mergeCell ref="X14:AB14"/>
    <mergeCell ref="H26:K26"/>
    <mergeCell ref="X70:AB70"/>
    <mergeCell ref="AC70:AH70"/>
    <mergeCell ref="J105:K105"/>
    <mergeCell ref="J104:K104"/>
    <mergeCell ref="J103:K103"/>
    <mergeCell ref="J102:K102"/>
    <mergeCell ref="J101:K101"/>
    <mergeCell ref="J100:K100"/>
    <mergeCell ref="BE85:BH85"/>
    <mergeCell ref="L105:AF105"/>
    <mergeCell ref="L104:AF104"/>
    <mergeCell ref="L103:AF103"/>
    <mergeCell ref="L102:AF102"/>
    <mergeCell ref="L101:AF101"/>
    <mergeCell ref="L100:AF100"/>
    <mergeCell ref="L99:AF99"/>
    <mergeCell ref="L98:AF98"/>
    <mergeCell ref="AZ92:BD92"/>
    <mergeCell ref="BE84:BH84"/>
    <mergeCell ref="C81:D82"/>
    <mergeCell ref="E81:H82"/>
    <mergeCell ref="BE89:BH89"/>
    <mergeCell ref="AZ88:BD88"/>
    <mergeCell ref="I82:AC82"/>
    <mergeCell ref="AZ84:BD84"/>
    <mergeCell ref="E88:H88"/>
    <mergeCell ref="BE82:BH82"/>
    <mergeCell ref="BE81:BH81"/>
    <mergeCell ref="BC30:BE30"/>
    <mergeCell ref="BC33:BE33"/>
    <mergeCell ref="AZ74:BD74"/>
    <mergeCell ref="E72:H72"/>
    <mergeCell ref="H34:K34"/>
    <mergeCell ref="E73:H74"/>
    <mergeCell ref="BC73:BD73"/>
    <mergeCell ref="E30:G30"/>
    <mergeCell ref="H33:K33"/>
    <mergeCell ref="H30:K30"/>
    <mergeCell ref="AI70:AM70"/>
    <mergeCell ref="L28:AF28"/>
    <mergeCell ref="L27:AF27"/>
    <mergeCell ref="H29:K29"/>
    <mergeCell ref="H28:K28"/>
    <mergeCell ref="H27:K27"/>
    <mergeCell ref="L29:AF29"/>
    <mergeCell ref="AH35:BB35"/>
    <mergeCell ref="K52:L52"/>
    <mergeCell ref="K50:L50"/>
    <mergeCell ref="BF31:BG31"/>
    <mergeCell ref="BF32:BG32"/>
    <mergeCell ref="E76:H76"/>
    <mergeCell ref="L32:AF32"/>
    <mergeCell ref="AH36:BB36"/>
    <mergeCell ref="H35:K35"/>
    <mergeCell ref="L34:AF34"/>
    <mergeCell ref="L35:AF35"/>
    <mergeCell ref="BC32:BE32"/>
    <mergeCell ref="BF35:BG35"/>
    <mergeCell ref="AZ93:BB93"/>
    <mergeCell ref="AZ94:BD94"/>
    <mergeCell ref="AZ90:BD90"/>
    <mergeCell ref="AZ89:BB89"/>
    <mergeCell ref="BC89:BD89"/>
    <mergeCell ref="AE94:AY94"/>
    <mergeCell ref="I92:AY92"/>
    <mergeCell ref="I89:AC89"/>
    <mergeCell ref="I72:AY72"/>
    <mergeCell ref="E93:H94"/>
    <mergeCell ref="E92:H92"/>
    <mergeCell ref="E89:H90"/>
    <mergeCell ref="E77:H78"/>
    <mergeCell ref="I88:AY88"/>
    <mergeCell ref="E85:H86"/>
    <mergeCell ref="E80:H80"/>
    <mergeCell ref="I85:AC85"/>
    <mergeCell ref="I76:AY76"/>
    <mergeCell ref="BE94:BH94"/>
    <mergeCell ref="BE93:BH93"/>
    <mergeCell ref="BE92:BH92"/>
    <mergeCell ref="BE90:BH90"/>
    <mergeCell ref="BE88:BH88"/>
    <mergeCell ref="BE86:BH86"/>
    <mergeCell ref="C65:F65"/>
    <mergeCell ref="C64:F64"/>
    <mergeCell ref="BC93:BD93"/>
    <mergeCell ref="K63:L63"/>
    <mergeCell ref="AZ80:BD80"/>
    <mergeCell ref="AZ81:BB81"/>
    <mergeCell ref="BC81:BD81"/>
    <mergeCell ref="AZ76:BD76"/>
    <mergeCell ref="I77:AC77"/>
    <mergeCell ref="I78:AC78"/>
    <mergeCell ref="BE80:BH80"/>
    <mergeCell ref="K51:L51"/>
    <mergeCell ref="I73:AC73"/>
    <mergeCell ref="BE78:BH78"/>
    <mergeCell ref="I74:AC74"/>
    <mergeCell ref="AE77:AY77"/>
    <mergeCell ref="AE73:AY73"/>
    <mergeCell ref="AZ78:BD78"/>
    <mergeCell ref="BC77:BD77"/>
    <mergeCell ref="AZ77:BB77"/>
    <mergeCell ref="C61:F61"/>
    <mergeCell ref="G61:I61"/>
    <mergeCell ref="K61:AG61"/>
    <mergeCell ref="C52:F52"/>
    <mergeCell ref="C50:F50"/>
    <mergeCell ref="AZ73:BB73"/>
    <mergeCell ref="G62:I62"/>
    <mergeCell ref="G52:I52"/>
    <mergeCell ref="G51:I51"/>
    <mergeCell ref="G50:I50"/>
    <mergeCell ref="I81:AC81"/>
    <mergeCell ref="AE74:AY74"/>
    <mergeCell ref="AZ85:BB85"/>
    <mergeCell ref="BC85:BD85"/>
    <mergeCell ref="AZ86:BD86"/>
    <mergeCell ref="AE78:AY78"/>
    <mergeCell ref="I80:AY80"/>
    <mergeCell ref="K49:L49"/>
    <mergeCell ref="AW64:AY64"/>
    <mergeCell ref="AZ82:BD82"/>
    <mergeCell ref="AE85:AY85"/>
    <mergeCell ref="AE81:AY81"/>
    <mergeCell ref="I84:AY84"/>
    <mergeCell ref="AE82:AY82"/>
    <mergeCell ref="G49:I49"/>
    <mergeCell ref="G64:I64"/>
    <mergeCell ref="G63:I63"/>
    <mergeCell ref="C60:I60"/>
    <mergeCell ref="C62:F62"/>
    <mergeCell ref="C49:F49"/>
    <mergeCell ref="AW65:AY65"/>
    <mergeCell ref="BN65:BP65"/>
    <mergeCell ref="BK62:BM62"/>
    <mergeCell ref="BI62:BJ62"/>
    <mergeCell ref="BF62:BG62"/>
    <mergeCell ref="BN63:BP63"/>
    <mergeCell ref="BN64:BP64"/>
    <mergeCell ref="BF63:BG63"/>
    <mergeCell ref="BI64:BJ64"/>
    <mergeCell ref="BF64:BG64"/>
    <mergeCell ref="BK61:BM61"/>
    <mergeCell ref="BI51:BJ51"/>
    <mergeCell ref="BF52:BG52"/>
    <mergeCell ref="BN52:BP52"/>
    <mergeCell ref="BN61:BP61"/>
    <mergeCell ref="BF61:BJ61"/>
    <mergeCell ref="BI52:BJ52"/>
    <mergeCell ref="BK52:BM52"/>
    <mergeCell ref="BK51:BM51"/>
    <mergeCell ref="BC52:BE52"/>
    <mergeCell ref="AZ49:BB49"/>
    <mergeCell ref="AZ52:BB52"/>
    <mergeCell ref="BC51:BE51"/>
    <mergeCell ref="BC50:BE50"/>
    <mergeCell ref="BC49:BE49"/>
    <mergeCell ref="AZ50:BB50"/>
    <mergeCell ref="AZ51:BB51"/>
    <mergeCell ref="BN50:BP50"/>
    <mergeCell ref="AW49:AY49"/>
    <mergeCell ref="AW51:AY51"/>
    <mergeCell ref="AT49:AV49"/>
    <mergeCell ref="AW50:AY50"/>
    <mergeCell ref="AT50:AV50"/>
    <mergeCell ref="AT51:AV51"/>
    <mergeCell ref="BN51:BP51"/>
    <mergeCell ref="AT48:AV48"/>
    <mergeCell ref="AW48:AY48"/>
    <mergeCell ref="AZ48:BB48"/>
    <mergeCell ref="BC48:BE48"/>
    <mergeCell ref="BK49:BM49"/>
    <mergeCell ref="BK50:BM50"/>
    <mergeCell ref="BN62:BP62"/>
    <mergeCell ref="BN48:BP48"/>
    <mergeCell ref="BF48:BJ48"/>
    <mergeCell ref="BK48:BM48"/>
    <mergeCell ref="BI49:BJ49"/>
    <mergeCell ref="BI50:BJ50"/>
    <mergeCell ref="BF50:BG50"/>
    <mergeCell ref="BF51:BG51"/>
    <mergeCell ref="BN49:BP49"/>
    <mergeCell ref="BF49:BG49"/>
    <mergeCell ref="AW61:AY61"/>
    <mergeCell ref="AW62:AY62"/>
    <mergeCell ref="AW63:AY63"/>
    <mergeCell ref="AT52:AV52"/>
    <mergeCell ref="AT61:AV61"/>
    <mergeCell ref="AW52:AY52"/>
    <mergeCell ref="BE72:BH72"/>
    <mergeCell ref="C63:F63"/>
    <mergeCell ref="E35:G35"/>
    <mergeCell ref="C36:D36"/>
    <mergeCell ref="C38:D38"/>
    <mergeCell ref="C37:D37"/>
    <mergeCell ref="E37:G37"/>
    <mergeCell ref="E36:G36"/>
    <mergeCell ref="H37:K37"/>
    <mergeCell ref="H36:K36"/>
    <mergeCell ref="K65:L65"/>
    <mergeCell ref="AT62:AV62"/>
    <mergeCell ref="AT63:AV63"/>
    <mergeCell ref="G65:I65"/>
    <mergeCell ref="AN62:AP62"/>
    <mergeCell ref="AK65:AM65"/>
    <mergeCell ref="AK62:AM62"/>
    <mergeCell ref="AK64:AM64"/>
    <mergeCell ref="AK63:AM63"/>
    <mergeCell ref="K64:L64"/>
    <mergeCell ref="BC61:BE61"/>
    <mergeCell ref="BC65:BE65"/>
    <mergeCell ref="AZ65:BB65"/>
    <mergeCell ref="AZ62:BB62"/>
    <mergeCell ref="BC62:BE62"/>
    <mergeCell ref="BC63:BE63"/>
    <mergeCell ref="AZ64:BB64"/>
    <mergeCell ref="AZ61:BB61"/>
    <mergeCell ref="BK65:BM65"/>
    <mergeCell ref="AT65:AV65"/>
    <mergeCell ref="BI63:BJ63"/>
    <mergeCell ref="BK64:BM64"/>
    <mergeCell ref="AT64:AV64"/>
    <mergeCell ref="BC64:BE64"/>
    <mergeCell ref="AZ63:BB63"/>
    <mergeCell ref="BI65:BJ65"/>
    <mergeCell ref="BF65:BG65"/>
    <mergeCell ref="BK63:BM63"/>
    <mergeCell ref="E32:G32"/>
    <mergeCell ref="E34:G34"/>
    <mergeCell ref="AH29:BB29"/>
    <mergeCell ref="AH32:BB32"/>
    <mergeCell ref="H31:K31"/>
    <mergeCell ref="AH31:BB31"/>
    <mergeCell ref="AH30:BB30"/>
    <mergeCell ref="H32:K32"/>
    <mergeCell ref="L30:AF30"/>
    <mergeCell ref="AH34:BB34"/>
    <mergeCell ref="L36:AF36"/>
    <mergeCell ref="H70:K70"/>
    <mergeCell ref="AN70:AV70"/>
    <mergeCell ref="AW70:BA70"/>
    <mergeCell ref="AC18:AW18"/>
    <mergeCell ref="D18:X18"/>
    <mergeCell ref="L26:BB26"/>
    <mergeCell ref="U70:V70"/>
    <mergeCell ref="E33:G33"/>
    <mergeCell ref="E31:G31"/>
    <mergeCell ref="C33:D33"/>
    <mergeCell ref="C72:D72"/>
    <mergeCell ref="C34:D34"/>
    <mergeCell ref="C35:D35"/>
    <mergeCell ref="C32:D32"/>
    <mergeCell ref="AH33:BB33"/>
    <mergeCell ref="L33:AF33"/>
    <mergeCell ref="H38:K38"/>
    <mergeCell ref="L38:AF38"/>
    <mergeCell ref="L37:AF37"/>
    <mergeCell ref="C26:D26"/>
    <mergeCell ref="E26:G26"/>
    <mergeCell ref="C89:D90"/>
    <mergeCell ref="B70:G70"/>
    <mergeCell ref="C77:D78"/>
    <mergeCell ref="E38:G38"/>
    <mergeCell ref="C84:D84"/>
    <mergeCell ref="E28:G28"/>
    <mergeCell ref="C29:D29"/>
    <mergeCell ref="E29:G29"/>
    <mergeCell ref="C93:D94"/>
    <mergeCell ref="C92:D92"/>
    <mergeCell ref="C76:D76"/>
    <mergeCell ref="C73:D74"/>
    <mergeCell ref="C88:D88"/>
    <mergeCell ref="C80:D80"/>
    <mergeCell ref="C85:D86"/>
    <mergeCell ref="E84:H84"/>
    <mergeCell ref="BF37:BG37"/>
    <mergeCell ref="I94:AC94"/>
    <mergeCell ref="AE90:AY90"/>
    <mergeCell ref="I90:AC90"/>
    <mergeCell ref="AE86:AY86"/>
    <mergeCell ref="I86:AC86"/>
    <mergeCell ref="AE93:AY93"/>
    <mergeCell ref="AE89:AY89"/>
    <mergeCell ref="I93:AC93"/>
    <mergeCell ref="BF28:BG28"/>
    <mergeCell ref="BC31:BE31"/>
    <mergeCell ref="BF33:BG33"/>
    <mergeCell ref="AH37:BB37"/>
    <mergeCell ref="AH38:BB38"/>
    <mergeCell ref="BC36:BE36"/>
    <mergeCell ref="BF36:BG36"/>
    <mergeCell ref="BC37:BE37"/>
    <mergeCell ref="BF38:BG38"/>
    <mergeCell ref="BC38:BE38"/>
    <mergeCell ref="C51:F51"/>
    <mergeCell ref="C47:I47"/>
    <mergeCell ref="G48:I48"/>
    <mergeCell ref="C48:F48"/>
    <mergeCell ref="BC26:BG26"/>
    <mergeCell ref="BC27:BE27"/>
    <mergeCell ref="BC28:BE28"/>
    <mergeCell ref="BF29:BG29"/>
    <mergeCell ref="BF27:BG27"/>
    <mergeCell ref="BC29:BE29"/>
    <mergeCell ref="AH28:BB28"/>
    <mergeCell ref="AH27:BB27"/>
    <mergeCell ref="L31:AF31"/>
    <mergeCell ref="C28:D28"/>
    <mergeCell ref="C27:D27"/>
    <mergeCell ref="E27:G27"/>
    <mergeCell ref="C30:D30"/>
    <mergeCell ref="C31:D31"/>
    <mergeCell ref="C8:AU8"/>
    <mergeCell ref="C4:AU4"/>
    <mergeCell ref="C3:AU3"/>
    <mergeCell ref="C2:AU2"/>
    <mergeCell ref="C6:AU6"/>
    <mergeCell ref="D22:X22"/>
    <mergeCell ref="D21:X21"/>
    <mergeCell ref="D20:X20"/>
    <mergeCell ref="D19:X19"/>
    <mergeCell ref="AC14:AH14"/>
    <mergeCell ref="AH50:AJ50"/>
    <mergeCell ref="AH49:AJ49"/>
    <mergeCell ref="AH65:AJ65"/>
    <mergeCell ref="AH64:AJ64"/>
    <mergeCell ref="AH63:AJ63"/>
    <mergeCell ref="AH62:AJ62"/>
    <mergeCell ref="AH54:AJ61"/>
    <mergeCell ref="AH52:AJ52"/>
    <mergeCell ref="AH51:AJ51"/>
    <mergeCell ref="AQ49:AS49"/>
    <mergeCell ref="AN49:AP49"/>
    <mergeCell ref="AK49:AM49"/>
    <mergeCell ref="AQ65:AS65"/>
    <mergeCell ref="AQ64:AS64"/>
    <mergeCell ref="AQ63:AS63"/>
    <mergeCell ref="AQ62:AS62"/>
    <mergeCell ref="AN65:AP65"/>
    <mergeCell ref="AN64:AP64"/>
    <mergeCell ref="AN63:AP63"/>
    <mergeCell ref="AK41:AM48"/>
    <mergeCell ref="AK52:AM52"/>
    <mergeCell ref="AK51:AM51"/>
    <mergeCell ref="AK50:AM50"/>
    <mergeCell ref="AQ50:AS50"/>
    <mergeCell ref="AN52:AP52"/>
    <mergeCell ref="AN51:AP51"/>
    <mergeCell ref="AN50:AP50"/>
    <mergeCell ref="AQ52:AS52"/>
    <mergeCell ref="AQ51:AS51"/>
    <mergeCell ref="M51:AG51"/>
    <mergeCell ref="M50:AG50"/>
    <mergeCell ref="M49:AG49"/>
    <mergeCell ref="K62:L62"/>
    <mergeCell ref="AH41:AJ48"/>
    <mergeCell ref="AQ54:AS61"/>
    <mergeCell ref="AN54:AP61"/>
    <mergeCell ref="AK54:AM61"/>
    <mergeCell ref="AQ41:AS48"/>
    <mergeCell ref="AN41:AP48"/>
    <mergeCell ref="BF30:BG30"/>
    <mergeCell ref="BC34:BE34"/>
    <mergeCell ref="BC35:BE35"/>
    <mergeCell ref="AZ72:BD72"/>
    <mergeCell ref="K48:AG48"/>
    <mergeCell ref="M65:AG65"/>
    <mergeCell ref="M64:AG64"/>
    <mergeCell ref="M63:AG63"/>
    <mergeCell ref="M62:AG62"/>
    <mergeCell ref="M52:AG52"/>
    <mergeCell ref="B11:G11"/>
    <mergeCell ref="H11:K11"/>
    <mergeCell ref="U11:V11"/>
    <mergeCell ref="X11:AB11"/>
    <mergeCell ref="AZ3:BG3"/>
    <mergeCell ref="BE77:BH77"/>
    <mergeCell ref="BE76:BH76"/>
    <mergeCell ref="BE74:BH74"/>
    <mergeCell ref="BE73:BH73"/>
    <mergeCell ref="BF34:BG34"/>
    <mergeCell ref="AC20:AW20"/>
    <mergeCell ref="AC19:AW19"/>
    <mergeCell ref="AC22:AW22"/>
    <mergeCell ref="AC21:AW21"/>
    <mergeCell ref="AC11:AH11"/>
    <mergeCell ref="AI11:AM11"/>
    <mergeCell ref="AN11:AV11"/>
    <mergeCell ref="AW11:BA11"/>
    <mergeCell ref="AI14:AM14"/>
    <mergeCell ref="AN14:AV14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geOrder="overThenDown" paperSize="9" scale="75" r:id="rId4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:BD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35" t="str">
        <f>Ergebniseingabe!C2</f>
        <v>SV Grün Weiß Vernum 1949 e.V.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  <c r="AS2" s="535"/>
      <c r="AT2" s="535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515" t="str">
        <f>Ergebniseingabe!C3</f>
        <v>22. GWV Jugendturnier 2017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W3" s="213" t="s">
        <v>61</v>
      </c>
      <c r="AX3" s="213"/>
      <c r="AY3" s="213"/>
      <c r="AZ3" s="213"/>
      <c r="BA3" s="213"/>
      <c r="BB3" s="213"/>
      <c r="BC3" s="213"/>
      <c r="BD3" s="21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0" t="str">
        <f>Ergebniseingabe!C4</f>
        <v>C - Junioren</v>
      </c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  <c r="AC4" s="640"/>
      <c r="AD4" s="640"/>
      <c r="AE4" s="640"/>
      <c r="AF4" s="640"/>
      <c r="AG4" s="640"/>
      <c r="AH4" s="640"/>
      <c r="AI4" s="640"/>
      <c r="AJ4" s="640"/>
      <c r="AK4" s="640"/>
      <c r="AL4" s="640"/>
      <c r="AM4" s="640"/>
      <c r="AN4" s="640"/>
      <c r="AO4" s="640"/>
      <c r="AP4" s="640"/>
      <c r="AQ4" s="640"/>
      <c r="AR4" s="640"/>
      <c r="AS4" s="640"/>
      <c r="AT4" s="640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5">
        <f>Ergebniseingabe!C6</f>
        <v>42880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5"/>
      <c r="AK6" s="635"/>
      <c r="AL6" s="635"/>
      <c r="AM6" s="635"/>
      <c r="AN6" s="635"/>
      <c r="AO6" s="635"/>
      <c r="AP6" s="635"/>
      <c r="AQ6" s="635"/>
      <c r="AR6" s="635"/>
      <c r="AS6" s="635"/>
      <c r="AT6" s="635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39" t="str">
        <f>Ergebniseingabe!C8</f>
        <v>Gerhard-Waerdt Sportanlage, Vernumer Str. 157, 47608 Geldern/Vernum</v>
      </c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39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08" t="s">
        <v>62</v>
      </c>
      <c r="B10" s="208"/>
      <c r="C10" s="208"/>
      <c r="D10" s="208"/>
      <c r="E10" s="208"/>
      <c r="F10" s="208"/>
      <c r="G10" s="423">
        <f>Ergebniseingabe!H11</f>
        <v>0.3958333333333333</v>
      </c>
      <c r="H10" s="423"/>
      <c r="I10" s="423"/>
      <c r="J10" s="423"/>
      <c r="K10" s="17" t="s">
        <v>0</v>
      </c>
      <c r="S10" s="45" t="s">
        <v>1</v>
      </c>
      <c r="T10" s="424">
        <f>Ergebniseingabe!U11</f>
        <v>1</v>
      </c>
      <c r="U10" s="424"/>
      <c r="V10" s="46" t="s">
        <v>2</v>
      </c>
      <c r="W10" s="421">
        <f>Ergebniseingabe!X11</f>
        <v>15</v>
      </c>
      <c r="X10" s="421"/>
      <c r="Y10" s="421"/>
      <c r="Z10" s="421"/>
      <c r="AA10" s="421"/>
      <c r="AB10" s="206">
        <f>IF(T10=2,"Halbzeit:","")</f>
      </c>
      <c r="AC10" s="206"/>
      <c r="AD10" s="206"/>
      <c r="AE10" s="206"/>
      <c r="AF10" s="206"/>
      <c r="AG10" s="206"/>
      <c r="AH10" s="421">
        <f>IF(Ergebniseingabe!AI11="","",Ergebniseingabe!AI11)</f>
      </c>
      <c r="AI10" s="421"/>
      <c r="AJ10" s="421"/>
      <c r="AK10" s="421"/>
      <c r="AL10" s="421"/>
      <c r="AM10" s="208" t="s">
        <v>3</v>
      </c>
      <c r="AN10" s="208"/>
      <c r="AO10" s="208"/>
      <c r="AP10" s="208"/>
      <c r="AQ10" s="208"/>
      <c r="AR10" s="208"/>
      <c r="AS10" s="208"/>
      <c r="AT10" s="208"/>
      <c r="AU10" s="208"/>
      <c r="AV10" s="422">
        <f>Ergebniseingabe!AW11</f>
        <v>3</v>
      </c>
      <c r="AW10" s="422"/>
      <c r="AX10" s="422"/>
      <c r="AY10" s="422"/>
      <c r="AZ10" s="422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5" t="str">
        <f>Ergebniseingabe!D18</f>
        <v>Gruppe A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7"/>
      <c r="AB14" s="622" t="str">
        <f>Ergebniseingabe!AC18</f>
        <v>Gruppe B</v>
      </c>
      <c r="AC14" s="623"/>
      <c r="AD14" s="623"/>
      <c r="AE14" s="623"/>
      <c r="AF14" s="623"/>
      <c r="AG14" s="623"/>
      <c r="AH14" s="623"/>
      <c r="AI14" s="623"/>
      <c r="AJ14" s="623"/>
      <c r="AK14" s="623"/>
      <c r="AL14" s="623"/>
      <c r="AM14" s="623"/>
      <c r="AN14" s="623"/>
      <c r="AO14" s="623"/>
      <c r="AP14" s="623"/>
      <c r="AQ14" s="623"/>
      <c r="AR14" s="623"/>
      <c r="AS14" s="623"/>
      <c r="AT14" s="623"/>
      <c r="AU14" s="623"/>
      <c r="AV14" s="624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41" t="str">
        <f>Ergebniseingabe!D19</f>
        <v>VfR 08 Oberhausen 1</v>
      </c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5"/>
      <c r="AA15" s="60">
        <v>1</v>
      </c>
      <c r="AB15" s="641" t="str">
        <f>Ergebniseingabe!AC19</f>
        <v>GW Vernum 3</v>
      </c>
      <c r="AC15" s="504"/>
      <c r="AD15" s="504"/>
      <c r="AE15" s="504"/>
      <c r="AF15" s="504"/>
      <c r="AG15" s="504"/>
      <c r="AH15" s="504"/>
      <c r="AI15" s="504"/>
      <c r="AJ15" s="504"/>
      <c r="AK15" s="504"/>
      <c r="AL15" s="504"/>
      <c r="AM15" s="504"/>
      <c r="AN15" s="504"/>
      <c r="AO15" s="504"/>
      <c r="AP15" s="504"/>
      <c r="AQ15" s="504"/>
      <c r="AR15" s="504"/>
      <c r="AS15" s="504"/>
      <c r="AT15" s="504"/>
      <c r="AU15" s="504"/>
      <c r="AV15" s="505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4" t="str">
        <f>Ergebniseingabe!D20</f>
        <v>FC Tannenhof 2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2"/>
      <c r="AA16" s="60">
        <v>2</v>
      </c>
      <c r="AB16" s="634" t="str">
        <f>Ergebniseingabe!AC20</f>
        <v>GW Vernum 1</v>
      </c>
      <c r="AC16" s="501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2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4" t="str">
        <f>Ergebniseingabe!D21</f>
        <v>GW Vernum 2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2"/>
      <c r="AA17" s="60">
        <v>3</v>
      </c>
      <c r="AB17" s="634" t="str">
        <f>Ergebniseingabe!AC21</f>
        <v>FC Tannenhof 1</v>
      </c>
      <c r="AC17" s="501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2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3" t="str">
        <f>Ergebniseingabe!D22</f>
        <v>SC Auwel-Holt</v>
      </c>
      <c r="D18" s="498"/>
      <c r="E18" s="498"/>
      <c r="F18" s="498"/>
      <c r="G18" s="498"/>
      <c r="H18" s="498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9"/>
      <c r="AA18" s="60">
        <v>4</v>
      </c>
      <c r="AB18" s="633" t="str">
        <f>Ergebniseingabe!AC22</f>
        <v>VfR 08 Oberhausen 2</v>
      </c>
      <c r="AC18" s="498"/>
      <c r="AD18" s="498"/>
      <c r="AE18" s="498"/>
      <c r="AF18" s="498"/>
      <c r="AG18" s="498"/>
      <c r="AH18" s="498"/>
      <c r="AI18" s="498"/>
      <c r="AJ18" s="498"/>
      <c r="AK18" s="498"/>
      <c r="AL18" s="498"/>
      <c r="AM18" s="498"/>
      <c r="AN18" s="498"/>
      <c r="AO18" s="498"/>
      <c r="AP18" s="498"/>
      <c r="AQ18" s="498"/>
      <c r="AR18" s="498"/>
      <c r="AS18" s="498"/>
      <c r="AT18" s="498"/>
      <c r="AU18" s="498"/>
      <c r="AV18" s="499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8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6" t="s">
        <v>9</v>
      </c>
      <c r="C22" s="637"/>
      <c r="D22" s="512" t="s">
        <v>10</v>
      </c>
      <c r="E22" s="513"/>
      <c r="F22" s="514"/>
      <c r="G22" s="512" t="s">
        <v>63</v>
      </c>
      <c r="H22" s="513"/>
      <c r="I22" s="513"/>
      <c r="J22" s="514"/>
      <c r="K22" s="512" t="s">
        <v>11</v>
      </c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  <c r="AA22" s="513"/>
      <c r="AB22" s="513"/>
      <c r="AC22" s="513"/>
      <c r="AD22" s="513"/>
      <c r="AE22" s="513"/>
      <c r="AF22" s="513"/>
      <c r="AG22" s="513"/>
      <c r="AH22" s="513"/>
      <c r="AI22" s="513"/>
      <c r="AJ22" s="513"/>
      <c r="AK22" s="513"/>
      <c r="AL22" s="513"/>
      <c r="AM22" s="513"/>
      <c r="AN22" s="513"/>
      <c r="AO22" s="513"/>
      <c r="AP22" s="513"/>
      <c r="AQ22" s="513"/>
      <c r="AR22" s="513"/>
      <c r="AS22" s="513"/>
      <c r="AT22" s="513"/>
      <c r="AU22" s="513"/>
      <c r="AV22" s="513"/>
      <c r="AW22" s="513"/>
      <c r="AX22" s="513"/>
      <c r="AY22" s="513"/>
      <c r="AZ22" s="513"/>
      <c r="BA22" s="514"/>
      <c r="BB22" s="512" t="s">
        <v>12</v>
      </c>
      <c r="BC22" s="513"/>
      <c r="BD22" s="513"/>
      <c r="BE22" s="513"/>
      <c r="BF22" s="513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8">
        <v>1</v>
      </c>
      <c r="C23" s="614"/>
      <c r="D23" s="614" t="str">
        <f>Ergebniseingabe!E27</f>
        <v>A</v>
      </c>
      <c r="E23" s="614"/>
      <c r="F23" s="614"/>
      <c r="G23" s="611">
        <f>Ergebniseingabe!H27</f>
        <v>0.3958333333333333</v>
      </c>
      <c r="H23" s="612"/>
      <c r="I23" s="612"/>
      <c r="J23" s="613"/>
      <c r="K23" s="533" t="str">
        <f>Ergebniseingabe!L27</f>
        <v>VfR 08 Oberhausen 1</v>
      </c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67" t="s">
        <v>14</v>
      </c>
      <c r="AG23" s="527" t="str">
        <f>Ergebniseingabe!AH27</f>
        <v>FC Tannenhof 2</v>
      </c>
      <c r="AH23" s="527"/>
      <c r="AI23" s="527"/>
      <c r="AJ23" s="527"/>
      <c r="AK23" s="527"/>
      <c r="AL23" s="527"/>
      <c r="AM23" s="527"/>
      <c r="AN23" s="527"/>
      <c r="AO23" s="527"/>
      <c r="AP23" s="527"/>
      <c r="AQ23" s="527"/>
      <c r="AR23" s="527"/>
      <c r="AS23" s="527"/>
      <c r="AT23" s="527"/>
      <c r="AU23" s="527"/>
      <c r="AV23" s="527"/>
      <c r="AW23" s="527"/>
      <c r="AX23" s="527"/>
      <c r="AY23" s="527"/>
      <c r="AZ23" s="527"/>
      <c r="BA23" s="528"/>
      <c r="BB23" s="615">
        <f>IF(Ergebniseingabe!BC27="","",Ergebniseingabe!BC27)</f>
        <v>0</v>
      </c>
      <c r="BC23" s="616"/>
      <c r="BD23" s="616"/>
      <c r="BE23" s="426">
        <f>IF(Ergebniseingabe!BF27="","",Ergebniseingabe!BF27)</f>
        <v>0</v>
      </c>
      <c r="BF23" s="427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45">
        <v>2</v>
      </c>
      <c r="C24" s="543"/>
      <c r="D24" s="543" t="str">
        <f>Ergebniseingabe!E28</f>
        <v>A</v>
      </c>
      <c r="E24" s="543"/>
      <c r="F24" s="543"/>
      <c r="G24" s="546">
        <f>Ergebniseingabe!H28</f>
        <v>0.4083333333333333</v>
      </c>
      <c r="H24" s="547"/>
      <c r="I24" s="547"/>
      <c r="J24" s="548"/>
      <c r="K24" s="580" t="str">
        <f>Ergebniseingabe!L28</f>
        <v>GW Vernum 2</v>
      </c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77" t="s">
        <v>14</v>
      </c>
      <c r="AG24" s="581" t="str">
        <f>Ergebniseingabe!AH28</f>
        <v>SC Auwel-Holt</v>
      </c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581"/>
      <c r="AS24" s="581"/>
      <c r="AT24" s="581"/>
      <c r="AU24" s="581"/>
      <c r="AV24" s="581"/>
      <c r="AW24" s="581"/>
      <c r="AX24" s="581"/>
      <c r="AY24" s="581"/>
      <c r="AZ24" s="581"/>
      <c r="BA24" s="590"/>
      <c r="BB24" s="588">
        <f>IF(Ergebniseingabe!BC28="","",Ergebniseingabe!BC28)</f>
        <v>1</v>
      </c>
      <c r="BC24" s="589"/>
      <c r="BD24" s="589"/>
      <c r="BE24" s="582">
        <f>IF(Ergebniseingabe!BF28="","",Ergebniseingabe!BF28)</f>
        <v>0</v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607">
        <v>3</v>
      </c>
      <c r="C25" s="544"/>
      <c r="D25" s="544" t="str">
        <f>Ergebniseingabe!E29</f>
        <v>B</v>
      </c>
      <c r="E25" s="544"/>
      <c r="F25" s="544"/>
      <c r="G25" s="549">
        <f>Ergebniseingabe!H29</f>
        <v>0.42083333333333334</v>
      </c>
      <c r="H25" s="550"/>
      <c r="I25" s="550"/>
      <c r="J25" s="551"/>
      <c r="K25" s="610" t="str">
        <f>Ergebniseingabe!L29</f>
        <v>GW Vernum 3</v>
      </c>
      <c r="L25" s="608"/>
      <c r="M25" s="608"/>
      <c r="N25" s="608"/>
      <c r="O25" s="608"/>
      <c r="P25" s="608"/>
      <c r="Q25" s="608"/>
      <c r="R25" s="608"/>
      <c r="S25" s="608"/>
      <c r="T25" s="608"/>
      <c r="U25" s="608"/>
      <c r="V25" s="608"/>
      <c r="W25" s="608"/>
      <c r="X25" s="608"/>
      <c r="Y25" s="608"/>
      <c r="Z25" s="608"/>
      <c r="AA25" s="608"/>
      <c r="AB25" s="608"/>
      <c r="AC25" s="608"/>
      <c r="AD25" s="608"/>
      <c r="AE25" s="608"/>
      <c r="AF25" s="192" t="s">
        <v>14</v>
      </c>
      <c r="AG25" s="608" t="str">
        <f>Ergebniseingabe!AH29</f>
        <v>GW Vernum 1</v>
      </c>
      <c r="AH25" s="608"/>
      <c r="AI25" s="608"/>
      <c r="AJ25" s="608"/>
      <c r="AK25" s="608"/>
      <c r="AL25" s="608"/>
      <c r="AM25" s="608"/>
      <c r="AN25" s="608"/>
      <c r="AO25" s="608"/>
      <c r="AP25" s="608"/>
      <c r="AQ25" s="608"/>
      <c r="AR25" s="608"/>
      <c r="AS25" s="608"/>
      <c r="AT25" s="608"/>
      <c r="AU25" s="608"/>
      <c r="AV25" s="608"/>
      <c r="AW25" s="608"/>
      <c r="AX25" s="608"/>
      <c r="AY25" s="608"/>
      <c r="AZ25" s="608"/>
      <c r="BA25" s="609"/>
      <c r="BB25" s="586">
        <f>IF(Ergebniseingabe!BC29="","",Ergebniseingabe!BC29)</f>
        <v>1</v>
      </c>
      <c r="BC25" s="587"/>
      <c r="BD25" s="587"/>
      <c r="BE25" s="584">
        <f>IF(Ergebniseingabe!BF29="","",Ergebniseingabe!BF29)</f>
        <v>2</v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45">
        <v>4</v>
      </c>
      <c r="C26" s="543"/>
      <c r="D26" s="543" t="str">
        <f>Ergebniseingabe!E30</f>
        <v>B</v>
      </c>
      <c r="E26" s="543"/>
      <c r="F26" s="543"/>
      <c r="G26" s="546">
        <f>Ergebniseingabe!H30</f>
        <v>0.43333333333333335</v>
      </c>
      <c r="H26" s="547"/>
      <c r="I26" s="547"/>
      <c r="J26" s="548"/>
      <c r="K26" s="580" t="str">
        <f>Ergebniseingabe!L30</f>
        <v>FC Tannenhof 1</v>
      </c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77" t="s">
        <v>14</v>
      </c>
      <c r="AG26" s="581" t="str">
        <f>Ergebniseingabe!AH30</f>
        <v>VfR 08 Oberhausen 2</v>
      </c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581"/>
      <c r="AS26" s="581"/>
      <c r="AT26" s="581"/>
      <c r="AU26" s="581"/>
      <c r="AV26" s="581"/>
      <c r="AW26" s="581"/>
      <c r="AX26" s="581"/>
      <c r="AY26" s="581"/>
      <c r="AZ26" s="581"/>
      <c r="BA26" s="590"/>
      <c r="BB26" s="588">
        <f>IF(Ergebniseingabe!BC30="","",Ergebniseingabe!BC30)</f>
        <v>0</v>
      </c>
      <c r="BC26" s="589"/>
      <c r="BD26" s="589"/>
      <c r="BE26" s="582">
        <f>IF(Ergebniseingabe!BF30="","",Ergebniseingabe!BF30)</f>
        <v>0</v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607">
        <v>5</v>
      </c>
      <c r="C27" s="544"/>
      <c r="D27" s="544" t="str">
        <f>Ergebniseingabe!E31</f>
        <v>A</v>
      </c>
      <c r="E27" s="544"/>
      <c r="F27" s="544"/>
      <c r="G27" s="549">
        <f>Ergebniseingabe!H31</f>
        <v>0.44583333333333336</v>
      </c>
      <c r="H27" s="550"/>
      <c r="I27" s="550"/>
      <c r="J27" s="551"/>
      <c r="K27" s="610" t="str">
        <f>Ergebniseingabe!L31</f>
        <v>VfR 08 Oberhausen 1</v>
      </c>
      <c r="L27" s="608"/>
      <c r="M27" s="608"/>
      <c r="N27" s="608"/>
      <c r="O27" s="608"/>
      <c r="P27" s="608"/>
      <c r="Q27" s="608"/>
      <c r="R27" s="608"/>
      <c r="S27" s="608"/>
      <c r="T27" s="608"/>
      <c r="U27" s="608"/>
      <c r="V27" s="608"/>
      <c r="W27" s="608"/>
      <c r="X27" s="608"/>
      <c r="Y27" s="608"/>
      <c r="Z27" s="608"/>
      <c r="AA27" s="608"/>
      <c r="AB27" s="608"/>
      <c r="AC27" s="608"/>
      <c r="AD27" s="608"/>
      <c r="AE27" s="608"/>
      <c r="AF27" s="192" t="s">
        <v>14</v>
      </c>
      <c r="AG27" s="608" t="str">
        <f>Ergebniseingabe!AH31</f>
        <v>GW Vernum 2</v>
      </c>
      <c r="AH27" s="608"/>
      <c r="AI27" s="608"/>
      <c r="AJ27" s="608"/>
      <c r="AK27" s="608"/>
      <c r="AL27" s="608"/>
      <c r="AM27" s="608"/>
      <c r="AN27" s="608"/>
      <c r="AO27" s="608"/>
      <c r="AP27" s="608"/>
      <c r="AQ27" s="608"/>
      <c r="AR27" s="608"/>
      <c r="AS27" s="608"/>
      <c r="AT27" s="608"/>
      <c r="AU27" s="608"/>
      <c r="AV27" s="608"/>
      <c r="AW27" s="608"/>
      <c r="AX27" s="608"/>
      <c r="AY27" s="608"/>
      <c r="AZ27" s="608"/>
      <c r="BA27" s="609"/>
      <c r="BB27" s="586">
        <f>IF(Ergebniseingabe!BC31="","",Ergebniseingabe!BC31)</f>
        <v>1</v>
      </c>
      <c r="BC27" s="587"/>
      <c r="BD27" s="587"/>
      <c r="BE27" s="584">
        <f>IF(Ergebniseingabe!BF31="","",Ergebniseingabe!BF31)</f>
        <v>1</v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45">
        <v>6</v>
      </c>
      <c r="C28" s="543"/>
      <c r="D28" s="543" t="str">
        <f>Ergebniseingabe!E32</f>
        <v>A</v>
      </c>
      <c r="E28" s="543"/>
      <c r="F28" s="543"/>
      <c r="G28" s="546">
        <f>Ergebniseingabe!H32</f>
        <v>0.45833333333333337</v>
      </c>
      <c r="H28" s="547"/>
      <c r="I28" s="547"/>
      <c r="J28" s="548"/>
      <c r="K28" s="580" t="str">
        <f>Ergebniseingabe!L32</f>
        <v>FC Tannenhof 2</v>
      </c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77" t="s">
        <v>14</v>
      </c>
      <c r="AG28" s="581" t="str">
        <f>Ergebniseingabe!AH32</f>
        <v>SC Auwel-Holt</v>
      </c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81"/>
      <c r="AX28" s="581"/>
      <c r="AY28" s="581"/>
      <c r="AZ28" s="581"/>
      <c r="BA28" s="590"/>
      <c r="BB28" s="588">
        <f>IF(Ergebniseingabe!BC32="","",Ergebniseingabe!BC32)</f>
        <v>0</v>
      </c>
      <c r="BC28" s="589"/>
      <c r="BD28" s="589"/>
      <c r="BE28" s="582">
        <f>IF(Ergebniseingabe!BF32="","",Ergebniseingabe!BF32)</f>
        <v>3</v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607">
        <v>7</v>
      </c>
      <c r="C29" s="544"/>
      <c r="D29" s="544" t="str">
        <f>Ergebniseingabe!E33</f>
        <v>B</v>
      </c>
      <c r="E29" s="544"/>
      <c r="F29" s="544"/>
      <c r="G29" s="549">
        <f>Ergebniseingabe!H33</f>
        <v>0.4708333333333334</v>
      </c>
      <c r="H29" s="550"/>
      <c r="I29" s="550"/>
      <c r="J29" s="551"/>
      <c r="K29" s="610" t="str">
        <f>Ergebniseingabe!L33</f>
        <v>GW Vernum 3</v>
      </c>
      <c r="L29" s="608"/>
      <c r="M29" s="608"/>
      <c r="N29" s="608"/>
      <c r="O29" s="608"/>
      <c r="P29" s="608"/>
      <c r="Q29" s="608"/>
      <c r="R29" s="608"/>
      <c r="S29" s="608"/>
      <c r="T29" s="608"/>
      <c r="U29" s="608"/>
      <c r="V29" s="608"/>
      <c r="W29" s="608"/>
      <c r="X29" s="608"/>
      <c r="Y29" s="608"/>
      <c r="Z29" s="608"/>
      <c r="AA29" s="608"/>
      <c r="AB29" s="608"/>
      <c r="AC29" s="608"/>
      <c r="AD29" s="608"/>
      <c r="AE29" s="608"/>
      <c r="AF29" s="192" t="s">
        <v>14</v>
      </c>
      <c r="AG29" s="608" t="str">
        <f>Ergebniseingabe!AH33</f>
        <v>FC Tannenhof 1</v>
      </c>
      <c r="AH29" s="608"/>
      <c r="AI29" s="608"/>
      <c r="AJ29" s="608"/>
      <c r="AK29" s="608"/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9"/>
      <c r="BB29" s="586">
        <f>IF(Ergebniseingabe!BC33="","",Ergebniseingabe!BC33)</f>
        <v>0</v>
      </c>
      <c r="BC29" s="587"/>
      <c r="BD29" s="587"/>
      <c r="BE29" s="584">
        <f>IF(Ergebniseingabe!BF33="","",Ergebniseingabe!BF33)</f>
        <v>2</v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45">
        <v>8</v>
      </c>
      <c r="C30" s="543"/>
      <c r="D30" s="543" t="str">
        <f>Ergebniseingabe!E34</f>
        <v>B</v>
      </c>
      <c r="E30" s="543"/>
      <c r="F30" s="543"/>
      <c r="G30" s="546">
        <f>Ergebniseingabe!H34</f>
        <v>0.4833333333333334</v>
      </c>
      <c r="H30" s="547"/>
      <c r="I30" s="547"/>
      <c r="J30" s="548"/>
      <c r="K30" s="580" t="str">
        <f>Ergebniseingabe!L34</f>
        <v>GW Vernum 1</v>
      </c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77" t="s">
        <v>14</v>
      </c>
      <c r="AG30" s="581" t="str">
        <f>Ergebniseingabe!AH34</f>
        <v>VfR 08 Oberhausen 2</v>
      </c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81"/>
      <c r="AX30" s="581"/>
      <c r="AY30" s="581"/>
      <c r="AZ30" s="581"/>
      <c r="BA30" s="590"/>
      <c r="BB30" s="588">
        <f>IF(Ergebniseingabe!BC34="","",Ergebniseingabe!BC34)</f>
        <v>0</v>
      </c>
      <c r="BC30" s="589"/>
      <c r="BD30" s="589"/>
      <c r="BE30" s="582">
        <f>IF(Ergebniseingabe!BF34="","",Ergebniseingabe!BF34)</f>
        <v>0</v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607">
        <v>9</v>
      </c>
      <c r="C31" s="544"/>
      <c r="D31" s="544" t="str">
        <f>Ergebniseingabe!E35</f>
        <v>A</v>
      </c>
      <c r="E31" s="544"/>
      <c r="F31" s="544"/>
      <c r="G31" s="549">
        <f>Ergebniseingabe!H35</f>
        <v>0.4958333333333334</v>
      </c>
      <c r="H31" s="550"/>
      <c r="I31" s="550"/>
      <c r="J31" s="551"/>
      <c r="K31" s="610" t="str">
        <f>Ergebniseingabe!L35</f>
        <v>SC Auwel-Holt</v>
      </c>
      <c r="L31" s="608"/>
      <c r="M31" s="608"/>
      <c r="N31" s="608"/>
      <c r="O31" s="608"/>
      <c r="P31" s="608"/>
      <c r="Q31" s="608"/>
      <c r="R31" s="608"/>
      <c r="S31" s="608"/>
      <c r="T31" s="608"/>
      <c r="U31" s="608"/>
      <c r="V31" s="608"/>
      <c r="W31" s="608"/>
      <c r="X31" s="608"/>
      <c r="Y31" s="608"/>
      <c r="Z31" s="608"/>
      <c r="AA31" s="608"/>
      <c r="AB31" s="608"/>
      <c r="AC31" s="608"/>
      <c r="AD31" s="608"/>
      <c r="AE31" s="608"/>
      <c r="AF31" s="192" t="s">
        <v>14</v>
      </c>
      <c r="AG31" s="608" t="str">
        <f>Ergebniseingabe!AH35</f>
        <v>VfR 08 Oberhausen 1</v>
      </c>
      <c r="AH31" s="608"/>
      <c r="AI31" s="608"/>
      <c r="AJ31" s="608"/>
      <c r="AK31" s="608"/>
      <c r="AL31" s="608"/>
      <c r="AM31" s="608"/>
      <c r="AN31" s="608"/>
      <c r="AO31" s="608"/>
      <c r="AP31" s="608"/>
      <c r="AQ31" s="608"/>
      <c r="AR31" s="608"/>
      <c r="AS31" s="608"/>
      <c r="AT31" s="608"/>
      <c r="AU31" s="608"/>
      <c r="AV31" s="608"/>
      <c r="AW31" s="608"/>
      <c r="AX31" s="608"/>
      <c r="AY31" s="608"/>
      <c r="AZ31" s="608"/>
      <c r="BA31" s="609"/>
      <c r="BB31" s="586">
        <f>IF(Ergebniseingabe!BC35="","",Ergebniseingabe!BC35)</f>
        <v>1</v>
      </c>
      <c r="BC31" s="587"/>
      <c r="BD31" s="587"/>
      <c r="BE31" s="584">
        <f>IF(Ergebniseingabe!BF35="","",Ergebniseingabe!BF35)</f>
        <v>1</v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45">
        <v>10</v>
      </c>
      <c r="C32" s="543"/>
      <c r="D32" s="543" t="str">
        <f>Ergebniseingabe!E36</f>
        <v>A</v>
      </c>
      <c r="E32" s="543"/>
      <c r="F32" s="543"/>
      <c r="G32" s="546">
        <f>Ergebniseingabe!H36</f>
        <v>0.5083333333333334</v>
      </c>
      <c r="H32" s="547"/>
      <c r="I32" s="547"/>
      <c r="J32" s="548"/>
      <c r="K32" s="580" t="str">
        <f>Ergebniseingabe!L36</f>
        <v>GW Vernum 2</v>
      </c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77" t="s">
        <v>14</v>
      </c>
      <c r="AG32" s="581" t="str">
        <f>Ergebniseingabe!AH36</f>
        <v>FC Tannenhof 2</v>
      </c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  <c r="AU32" s="581"/>
      <c r="AV32" s="581"/>
      <c r="AW32" s="581"/>
      <c r="AX32" s="581"/>
      <c r="AY32" s="581"/>
      <c r="AZ32" s="581"/>
      <c r="BA32" s="590"/>
      <c r="BB32" s="588">
        <f>IF(Ergebniseingabe!BC36="","",Ergebniseingabe!BC36)</f>
        <v>2</v>
      </c>
      <c r="BC32" s="589"/>
      <c r="BD32" s="589"/>
      <c r="BE32" s="582">
        <f>IF(Ergebniseingabe!BF36="","",Ergebniseingabe!BF36)</f>
        <v>1</v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607">
        <v>11</v>
      </c>
      <c r="C33" s="544"/>
      <c r="D33" s="544" t="str">
        <f>Ergebniseingabe!E37</f>
        <v>B</v>
      </c>
      <c r="E33" s="544"/>
      <c r="F33" s="544"/>
      <c r="G33" s="549">
        <f>Ergebniseingabe!H37</f>
        <v>0.5208333333333334</v>
      </c>
      <c r="H33" s="550"/>
      <c r="I33" s="550"/>
      <c r="J33" s="551"/>
      <c r="K33" s="610" t="str">
        <f>Ergebniseingabe!L37</f>
        <v>VfR 08 Oberhausen 2</v>
      </c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192" t="s">
        <v>14</v>
      </c>
      <c r="AG33" s="608" t="str">
        <f>Ergebniseingabe!AH37</f>
        <v>GW Vernum 3</v>
      </c>
      <c r="AH33" s="608"/>
      <c r="AI33" s="608"/>
      <c r="AJ33" s="608"/>
      <c r="AK33" s="608"/>
      <c r="AL33" s="608"/>
      <c r="AM33" s="608"/>
      <c r="AN33" s="608"/>
      <c r="AO33" s="608"/>
      <c r="AP33" s="608"/>
      <c r="AQ33" s="608"/>
      <c r="AR33" s="608"/>
      <c r="AS33" s="608"/>
      <c r="AT33" s="608"/>
      <c r="AU33" s="608"/>
      <c r="AV33" s="608"/>
      <c r="AW33" s="608"/>
      <c r="AX33" s="608"/>
      <c r="AY33" s="608"/>
      <c r="AZ33" s="608"/>
      <c r="BA33" s="609"/>
      <c r="BB33" s="586">
        <f>IF(Ergebniseingabe!BC37="","",Ergebniseingabe!BC37)</f>
        <v>1</v>
      </c>
      <c r="BC33" s="587"/>
      <c r="BD33" s="587"/>
      <c r="BE33" s="584">
        <f>IF(Ergebniseingabe!BF37="","",Ergebniseingabe!BF37)</f>
        <v>2</v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45">
        <v>12</v>
      </c>
      <c r="C34" s="543"/>
      <c r="D34" s="543" t="str">
        <f>Ergebniseingabe!E38</f>
        <v>B</v>
      </c>
      <c r="E34" s="543"/>
      <c r="F34" s="543"/>
      <c r="G34" s="546">
        <f>Ergebniseingabe!H38</f>
        <v>0.5333333333333333</v>
      </c>
      <c r="H34" s="547"/>
      <c r="I34" s="547"/>
      <c r="J34" s="548"/>
      <c r="K34" s="580" t="str">
        <f>Ergebniseingabe!L38</f>
        <v>FC Tannenhof 1</v>
      </c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77" t="s">
        <v>14</v>
      </c>
      <c r="AG34" s="581" t="str">
        <f>Ergebniseingabe!AH38</f>
        <v>GW Vernum 1</v>
      </c>
      <c r="AH34" s="581"/>
      <c r="AI34" s="581"/>
      <c r="AJ34" s="581"/>
      <c r="AK34" s="581"/>
      <c r="AL34" s="581"/>
      <c r="AM34" s="581"/>
      <c r="AN34" s="581"/>
      <c r="AO34" s="581"/>
      <c r="AP34" s="581"/>
      <c r="AQ34" s="581"/>
      <c r="AR34" s="581"/>
      <c r="AS34" s="581"/>
      <c r="AT34" s="581"/>
      <c r="AU34" s="581"/>
      <c r="AV34" s="581"/>
      <c r="AW34" s="581"/>
      <c r="AX34" s="581"/>
      <c r="AY34" s="581"/>
      <c r="AZ34" s="581"/>
      <c r="BA34" s="590"/>
      <c r="BB34" s="588">
        <f>IF(Ergebniseingabe!BC38="","",Ergebniseingabe!BC38)</f>
        <v>1</v>
      </c>
      <c r="BC34" s="589"/>
      <c r="BD34" s="589"/>
      <c r="BE34" s="582">
        <f>IF(Ergebniseingabe!BF38="","",Ergebniseingabe!BF38)</f>
        <v>2</v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7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601" t="str">
        <f>L45</f>
        <v>GW Vernum 2</v>
      </c>
      <c r="AH37" s="592"/>
      <c r="AI37" s="602"/>
      <c r="AJ37" s="591" t="str">
        <f>L46</f>
        <v>SC Auwel-Holt</v>
      </c>
      <c r="AK37" s="592"/>
      <c r="AL37" s="602"/>
      <c r="AM37" s="591" t="str">
        <f>L47</f>
        <v>VfR 08 Oberhausen 1</v>
      </c>
      <c r="AN37" s="592"/>
      <c r="AO37" s="602"/>
      <c r="AP37" s="591" t="str">
        <f>L48</f>
        <v>FC Tannenhof 2</v>
      </c>
      <c r="AQ37" s="592"/>
      <c r="AR37" s="593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603"/>
      <c r="AH38" s="595"/>
      <c r="AI38" s="604"/>
      <c r="AJ38" s="594"/>
      <c r="AK38" s="595"/>
      <c r="AL38" s="604"/>
      <c r="AM38" s="594"/>
      <c r="AN38" s="595"/>
      <c r="AO38" s="604"/>
      <c r="AP38" s="594"/>
      <c r="AQ38" s="595"/>
      <c r="AR38" s="596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603"/>
      <c r="AH39" s="595"/>
      <c r="AI39" s="604"/>
      <c r="AJ39" s="594"/>
      <c r="AK39" s="595"/>
      <c r="AL39" s="604"/>
      <c r="AM39" s="594"/>
      <c r="AN39" s="595"/>
      <c r="AO39" s="604"/>
      <c r="AP39" s="594"/>
      <c r="AQ39" s="595"/>
      <c r="AR39" s="596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603"/>
      <c r="AH40" s="595"/>
      <c r="AI40" s="604"/>
      <c r="AJ40" s="594"/>
      <c r="AK40" s="595"/>
      <c r="AL40" s="604"/>
      <c r="AM40" s="594"/>
      <c r="AN40" s="595"/>
      <c r="AO40" s="604"/>
      <c r="AP40" s="594"/>
      <c r="AQ40" s="595"/>
      <c r="AR40" s="596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603"/>
      <c r="AH41" s="595"/>
      <c r="AI41" s="604"/>
      <c r="AJ41" s="594"/>
      <c r="AK41" s="595"/>
      <c r="AL41" s="604"/>
      <c r="AM41" s="594"/>
      <c r="AN41" s="595"/>
      <c r="AO41" s="604"/>
      <c r="AP41" s="594"/>
      <c r="AQ41" s="595"/>
      <c r="AR41" s="596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603"/>
      <c r="AH42" s="595"/>
      <c r="AI42" s="604"/>
      <c r="AJ42" s="594"/>
      <c r="AK42" s="595"/>
      <c r="AL42" s="604"/>
      <c r="AM42" s="594"/>
      <c r="AN42" s="595"/>
      <c r="AO42" s="604"/>
      <c r="AP42" s="594"/>
      <c r="AQ42" s="595"/>
      <c r="AR42" s="596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537" t="s">
        <v>16</v>
      </c>
      <c r="C43" s="538"/>
      <c r="D43" s="538"/>
      <c r="E43" s="538"/>
      <c r="F43" s="538"/>
      <c r="G43" s="538"/>
      <c r="H43" s="539"/>
      <c r="AG43" s="603"/>
      <c r="AH43" s="595"/>
      <c r="AI43" s="604"/>
      <c r="AJ43" s="594"/>
      <c r="AK43" s="595"/>
      <c r="AL43" s="604"/>
      <c r="AM43" s="594"/>
      <c r="AN43" s="595"/>
      <c r="AO43" s="604"/>
      <c r="AP43" s="594"/>
      <c r="AQ43" s="595"/>
      <c r="AR43" s="596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40" t="s">
        <v>17</v>
      </c>
      <c r="C44" s="541"/>
      <c r="D44" s="541"/>
      <c r="E44" s="542"/>
      <c r="F44" s="540" t="s">
        <v>18</v>
      </c>
      <c r="G44" s="541"/>
      <c r="H44" s="542"/>
      <c r="J44" s="436" t="str">
        <f>Ergebniseingabe!K48</f>
        <v>Gruppe A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8"/>
      <c r="AG44" s="605"/>
      <c r="AH44" s="598"/>
      <c r="AI44" s="606"/>
      <c r="AJ44" s="597"/>
      <c r="AK44" s="598"/>
      <c r="AL44" s="606"/>
      <c r="AM44" s="597"/>
      <c r="AN44" s="598"/>
      <c r="AO44" s="606"/>
      <c r="AP44" s="597"/>
      <c r="AQ44" s="598"/>
      <c r="AR44" s="599"/>
      <c r="AS44" s="437" t="s">
        <v>19</v>
      </c>
      <c r="AT44" s="437"/>
      <c r="AU44" s="600"/>
      <c r="AV44" s="566" t="s">
        <v>20</v>
      </c>
      <c r="AW44" s="437"/>
      <c r="AX44" s="600"/>
      <c r="AY44" s="566" t="s">
        <v>21</v>
      </c>
      <c r="AZ44" s="437"/>
      <c r="BA44" s="600"/>
      <c r="BB44" s="566" t="s">
        <v>22</v>
      </c>
      <c r="BC44" s="437"/>
      <c r="BD44" s="600"/>
      <c r="BE44" s="567" t="s">
        <v>23</v>
      </c>
      <c r="BF44" s="567"/>
      <c r="BG44" s="567"/>
      <c r="BH44" s="567"/>
      <c r="BI44" s="567"/>
      <c r="BJ44" s="567" t="s">
        <v>24</v>
      </c>
      <c r="BK44" s="567"/>
      <c r="BL44" s="566"/>
      <c r="BM44" s="566" t="s">
        <v>25</v>
      </c>
      <c r="BN44" s="437"/>
      <c r="BO44" s="438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16">
        <f>IF(Ergebniseingabe!C49="","",Ergebniseingabe!C49)</f>
      </c>
      <c r="C45" s="516"/>
      <c r="D45" s="516"/>
      <c r="E45" s="516"/>
      <c r="F45" s="516">
        <f>IF(Ergebniseingabe!G49="","",Ergebniseingabe!G49)</f>
      </c>
      <c r="G45" s="516"/>
      <c r="H45" s="516"/>
      <c r="J45" s="479">
        <f>Ergebniseingabe!K49</f>
        <v>1</v>
      </c>
      <c r="K45" s="480"/>
      <c r="L45" s="460" t="str">
        <f>Ergebniseingabe!M49</f>
        <v>GW Vernum 2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76"/>
      <c r="AH45" s="476"/>
      <c r="AI45" s="477"/>
      <c r="AJ45" s="573" t="str">
        <f>Ergebniseingabe!AK49</f>
        <v>1:0</v>
      </c>
      <c r="AK45" s="569"/>
      <c r="AL45" s="568"/>
      <c r="AM45" s="573" t="str">
        <f>Ergebniseingabe!AN49</f>
        <v>1:1</v>
      </c>
      <c r="AN45" s="569"/>
      <c r="AO45" s="568"/>
      <c r="AP45" s="434" t="str">
        <f>Ergebniseingabe!AQ49</f>
        <v>2:1</v>
      </c>
      <c r="AQ45" s="435"/>
      <c r="AR45" s="435"/>
      <c r="AS45" s="435">
        <f>Ergebniseingabe!AT49</f>
        <v>3</v>
      </c>
      <c r="AT45" s="435"/>
      <c r="AU45" s="572"/>
      <c r="AV45" s="478">
        <f>Ergebniseingabe!AW49</f>
        <v>2</v>
      </c>
      <c r="AW45" s="478"/>
      <c r="AX45" s="478"/>
      <c r="AY45" s="478">
        <f>Ergebniseingabe!AZ49</f>
        <v>1</v>
      </c>
      <c r="AZ45" s="478"/>
      <c r="BA45" s="478"/>
      <c r="BB45" s="478">
        <f>Ergebniseingabe!BC49</f>
        <v>0</v>
      </c>
      <c r="BC45" s="478"/>
      <c r="BD45" s="478"/>
      <c r="BE45" s="569">
        <f>Ergebniseingabe!BF49</f>
        <v>4</v>
      </c>
      <c r="BF45" s="569"/>
      <c r="BG45" s="79" t="str">
        <f>Ergebniseingabe!BH49</f>
        <v>:</v>
      </c>
      <c r="BH45" s="568">
        <f>Ergebniseingabe!BI49</f>
        <v>2</v>
      </c>
      <c r="BI45" s="478"/>
      <c r="BJ45" s="570">
        <f>Ergebniseingabe!BK49</f>
        <v>2</v>
      </c>
      <c r="BK45" s="570"/>
      <c r="BL45" s="571"/>
      <c r="BM45" s="478">
        <f>Ergebniseingabe!BN49</f>
        <v>7</v>
      </c>
      <c r="BN45" s="478"/>
      <c r="BO45" s="434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16">
        <f>IF(Ergebniseingabe!C50="","",Ergebniseingabe!C50)</f>
      </c>
      <c r="C46" s="516"/>
      <c r="D46" s="516"/>
      <c r="E46" s="516"/>
      <c r="F46" s="516">
        <f>IF(Ergebniseingabe!G50="","",Ergebniseingabe!G50)</f>
      </c>
      <c r="G46" s="516"/>
      <c r="H46" s="516"/>
      <c r="J46" s="552">
        <f>Ergebniseingabe!K50</f>
        <v>2</v>
      </c>
      <c r="K46" s="553"/>
      <c r="L46" s="441" t="str">
        <f>Ergebniseingabe!M50</f>
        <v>SC Auwel-Holt</v>
      </c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62" t="str">
        <f>Ergebniseingabe!AH50</f>
        <v>0:1</v>
      </c>
      <c r="AH46" s="462"/>
      <c r="AI46" s="463"/>
      <c r="AJ46" s="455"/>
      <c r="AK46" s="456"/>
      <c r="AL46" s="457"/>
      <c r="AM46" s="452" t="str">
        <f>Ergebniseingabe!AN50</f>
        <v>1:1</v>
      </c>
      <c r="AN46" s="453"/>
      <c r="AO46" s="454"/>
      <c r="AP46" s="486" t="str">
        <f>Ergebniseingabe!AQ50</f>
        <v>3:0</v>
      </c>
      <c r="AQ46" s="462"/>
      <c r="AR46" s="462"/>
      <c r="AS46" s="462">
        <f>Ergebniseingabe!AT50</f>
        <v>3</v>
      </c>
      <c r="AT46" s="462"/>
      <c r="AU46" s="463"/>
      <c r="AV46" s="487">
        <f>Ergebniseingabe!AW50</f>
        <v>1</v>
      </c>
      <c r="AW46" s="487"/>
      <c r="AX46" s="487"/>
      <c r="AY46" s="487">
        <f>Ergebniseingabe!AZ50</f>
        <v>1</v>
      </c>
      <c r="AZ46" s="487"/>
      <c r="BA46" s="487"/>
      <c r="BB46" s="487">
        <f>Ergebniseingabe!BC50</f>
        <v>1</v>
      </c>
      <c r="BC46" s="487"/>
      <c r="BD46" s="487"/>
      <c r="BE46" s="453">
        <f>Ergebniseingabe!BF50</f>
        <v>4</v>
      </c>
      <c r="BF46" s="453"/>
      <c r="BG46" s="80" t="str">
        <f>Ergebniseingabe!BH50</f>
        <v>:</v>
      </c>
      <c r="BH46" s="454">
        <f>Ergebniseingabe!BI50</f>
        <v>2</v>
      </c>
      <c r="BI46" s="487"/>
      <c r="BJ46" s="564">
        <f>Ergebniseingabe!BK50</f>
        <v>2</v>
      </c>
      <c r="BK46" s="564"/>
      <c r="BL46" s="565"/>
      <c r="BM46" s="487">
        <f>Ergebniseingabe!BN50</f>
        <v>4</v>
      </c>
      <c r="BN46" s="487"/>
      <c r="BO46" s="486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16">
        <f>IF(Ergebniseingabe!C51="","",Ergebniseingabe!C51)</f>
      </c>
      <c r="C47" s="516"/>
      <c r="D47" s="516"/>
      <c r="E47" s="516"/>
      <c r="F47" s="516">
        <f>IF(Ergebniseingabe!G51="","",Ergebniseingabe!G51)</f>
      </c>
      <c r="G47" s="516"/>
      <c r="H47" s="516"/>
      <c r="J47" s="552">
        <f>Ergebniseingabe!K51</f>
        <v>3</v>
      </c>
      <c r="K47" s="553"/>
      <c r="L47" s="441" t="str">
        <f>Ergebniseingabe!M51</f>
        <v>VfR 08 Oberhausen 1</v>
      </c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62" t="str">
        <f>Ergebniseingabe!AH51</f>
        <v>1:1</v>
      </c>
      <c r="AH47" s="462"/>
      <c r="AI47" s="463"/>
      <c r="AJ47" s="452" t="str">
        <f>Ergebniseingabe!AK51</f>
        <v>1:1</v>
      </c>
      <c r="AK47" s="453"/>
      <c r="AL47" s="454"/>
      <c r="AM47" s="455"/>
      <c r="AN47" s="456"/>
      <c r="AO47" s="457"/>
      <c r="AP47" s="486" t="str">
        <f>Ergebniseingabe!AQ51</f>
        <v>0:0</v>
      </c>
      <c r="AQ47" s="462"/>
      <c r="AR47" s="462"/>
      <c r="AS47" s="462">
        <f>Ergebniseingabe!AT51</f>
        <v>3</v>
      </c>
      <c r="AT47" s="462"/>
      <c r="AU47" s="463"/>
      <c r="AV47" s="487">
        <f>Ergebniseingabe!AW51</f>
        <v>0</v>
      </c>
      <c r="AW47" s="487"/>
      <c r="AX47" s="487"/>
      <c r="AY47" s="487">
        <f>Ergebniseingabe!AZ51</f>
        <v>3</v>
      </c>
      <c r="AZ47" s="487"/>
      <c r="BA47" s="487"/>
      <c r="BB47" s="487">
        <f>Ergebniseingabe!BC51</f>
        <v>0</v>
      </c>
      <c r="BC47" s="487"/>
      <c r="BD47" s="487"/>
      <c r="BE47" s="453">
        <f>Ergebniseingabe!BF51</f>
        <v>2</v>
      </c>
      <c r="BF47" s="453"/>
      <c r="BG47" s="80" t="str">
        <f>Ergebniseingabe!BH51</f>
        <v>:</v>
      </c>
      <c r="BH47" s="454">
        <f>Ergebniseingabe!BI51</f>
        <v>2</v>
      </c>
      <c r="BI47" s="487"/>
      <c r="BJ47" s="564">
        <f>Ergebniseingabe!BK51</f>
        <v>0</v>
      </c>
      <c r="BK47" s="564"/>
      <c r="BL47" s="565"/>
      <c r="BM47" s="487">
        <f>Ergebniseingabe!BN51</f>
        <v>3</v>
      </c>
      <c r="BN47" s="487"/>
      <c r="BO47" s="486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16">
        <f>IF(Ergebniseingabe!C52="","",Ergebniseingabe!C52)</f>
      </c>
      <c r="C48" s="516"/>
      <c r="D48" s="516"/>
      <c r="E48" s="516"/>
      <c r="F48" s="516">
        <f>IF(Ergebniseingabe!G52="","",Ergebniseingabe!G52)</f>
      </c>
      <c r="G48" s="516"/>
      <c r="H48" s="516"/>
      <c r="J48" s="618">
        <f>Ergebniseingabe!K52</f>
        <v>4</v>
      </c>
      <c r="K48" s="619"/>
      <c r="L48" s="439" t="str">
        <f>Ergebniseingabe!M52</f>
        <v>FC Tannenhof 2</v>
      </c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58" t="str">
        <f>Ergebniseingabe!AH52</f>
        <v>1:2</v>
      </c>
      <c r="AH48" s="458"/>
      <c r="AI48" s="459"/>
      <c r="AJ48" s="481" t="str">
        <f>Ergebniseingabe!AK52</f>
        <v>0:3</v>
      </c>
      <c r="AK48" s="482"/>
      <c r="AL48" s="483"/>
      <c r="AM48" s="481" t="str">
        <f>Ergebniseingabe!AN52</f>
        <v>0:0</v>
      </c>
      <c r="AN48" s="482"/>
      <c r="AO48" s="483"/>
      <c r="AP48" s="484"/>
      <c r="AQ48" s="485"/>
      <c r="AR48" s="485"/>
      <c r="AS48" s="458">
        <f>Ergebniseingabe!AT52</f>
        <v>3</v>
      </c>
      <c r="AT48" s="458"/>
      <c r="AU48" s="459"/>
      <c r="AV48" s="557">
        <f>Ergebniseingabe!AW52</f>
        <v>0</v>
      </c>
      <c r="AW48" s="557"/>
      <c r="AX48" s="557"/>
      <c r="AY48" s="557">
        <f>Ergebniseingabe!AZ52</f>
        <v>1</v>
      </c>
      <c r="AZ48" s="557"/>
      <c r="BA48" s="557"/>
      <c r="BB48" s="557">
        <f>Ergebniseingabe!BC52</f>
        <v>2</v>
      </c>
      <c r="BC48" s="557"/>
      <c r="BD48" s="557"/>
      <c r="BE48" s="482">
        <f>Ergebniseingabe!BF52</f>
        <v>1</v>
      </c>
      <c r="BF48" s="482"/>
      <c r="BG48" s="81" t="str">
        <f>Ergebniseingabe!BH52</f>
        <v>:</v>
      </c>
      <c r="BH48" s="483">
        <f>Ergebniseingabe!BI52</f>
        <v>5</v>
      </c>
      <c r="BI48" s="557"/>
      <c r="BJ48" s="578">
        <f>Ergebniseingabe!BK52</f>
        <v>-4</v>
      </c>
      <c r="BK48" s="578"/>
      <c r="BL48" s="579"/>
      <c r="BM48" s="557">
        <f>Ergebniseingabe!BN52</f>
        <v>1</v>
      </c>
      <c r="BN48" s="557"/>
      <c r="BO48" s="574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473" t="str">
        <f>L58</f>
        <v>GW Vernum 1</v>
      </c>
      <c r="AH50" s="465"/>
      <c r="AI50" s="466"/>
      <c r="AJ50" s="464" t="str">
        <f>L59</f>
        <v>FC Tannenhof 1</v>
      </c>
      <c r="AK50" s="465"/>
      <c r="AL50" s="466"/>
      <c r="AM50" s="464" t="str">
        <f>L60</f>
        <v>GW Vernum 3</v>
      </c>
      <c r="AN50" s="465"/>
      <c r="AO50" s="466"/>
      <c r="AP50" s="464" t="str">
        <f>L61</f>
        <v>VfR 08 Oberhausen 2</v>
      </c>
      <c r="AQ50" s="465"/>
      <c r="AR50" s="488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74"/>
      <c r="AH51" s="468"/>
      <c r="AI51" s="469"/>
      <c r="AJ51" s="467"/>
      <c r="AK51" s="468"/>
      <c r="AL51" s="469"/>
      <c r="AM51" s="467"/>
      <c r="AN51" s="468"/>
      <c r="AO51" s="469"/>
      <c r="AP51" s="467"/>
      <c r="AQ51" s="468"/>
      <c r="AR51" s="489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474"/>
      <c r="AH52" s="468"/>
      <c r="AI52" s="469"/>
      <c r="AJ52" s="467"/>
      <c r="AK52" s="468"/>
      <c r="AL52" s="469"/>
      <c r="AM52" s="467"/>
      <c r="AN52" s="468"/>
      <c r="AO52" s="469"/>
      <c r="AP52" s="467"/>
      <c r="AQ52" s="468"/>
      <c r="AR52" s="489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474"/>
      <c r="AH53" s="468"/>
      <c r="AI53" s="469"/>
      <c r="AJ53" s="467"/>
      <c r="AK53" s="468"/>
      <c r="AL53" s="469"/>
      <c r="AM53" s="467"/>
      <c r="AN53" s="468"/>
      <c r="AO53" s="469"/>
      <c r="AP53" s="467"/>
      <c r="AQ53" s="468"/>
      <c r="AR53" s="489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474"/>
      <c r="AH54" s="468"/>
      <c r="AI54" s="469"/>
      <c r="AJ54" s="467"/>
      <c r="AK54" s="468"/>
      <c r="AL54" s="469"/>
      <c r="AM54" s="467"/>
      <c r="AN54" s="468"/>
      <c r="AO54" s="469"/>
      <c r="AP54" s="467"/>
      <c r="AQ54" s="468"/>
      <c r="AR54" s="489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474"/>
      <c r="AH55" s="468"/>
      <c r="AI55" s="469"/>
      <c r="AJ55" s="467"/>
      <c r="AK55" s="468"/>
      <c r="AL55" s="469"/>
      <c r="AM55" s="467"/>
      <c r="AN55" s="468"/>
      <c r="AO55" s="469"/>
      <c r="AP55" s="467"/>
      <c r="AQ55" s="468"/>
      <c r="AR55" s="489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537" t="s">
        <v>16</v>
      </c>
      <c r="C56" s="538"/>
      <c r="D56" s="538"/>
      <c r="E56" s="538"/>
      <c r="F56" s="538"/>
      <c r="G56" s="538"/>
      <c r="H56" s="53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474"/>
      <c r="AH56" s="468"/>
      <c r="AI56" s="469"/>
      <c r="AJ56" s="467"/>
      <c r="AK56" s="468"/>
      <c r="AL56" s="469"/>
      <c r="AM56" s="467"/>
      <c r="AN56" s="468"/>
      <c r="AO56" s="469"/>
      <c r="AP56" s="467"/>
      <c r="AQ56" s="468"/>
      <c r="AR56" s="489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40" t="s">
        <v>17</v>
      </c>
      <c r="C57" s="541"/>
      <c r="D57" s="541"/>
      <c r="E57" s="542"/>
      <c r="F57" s="540" t="s">
        <v>18</v>
      </c>
      <c r="G57" s="541"/>
      <c r="H57" s="542"/>
      <c r="J57" s="554" t="str">
        <f>Ergebniseingabe!K61</f>
        <v>Gruppe B</v>
      </c>
      <c r="K57" s="555"/>
      <c r="L57" s="555"/>
      <c r="M57" s="555"/>
      <c r="N57" s="555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475"/>
      <c r="AH57" s="471"/>
      <c r="AI57" s="472"/>
      <c r="AJ57" s="470"/>
      <c r="AK57" s="471"/>
      <c r="AL57" s="472"/>
      <c r="AM57" s="470"/>
      <c r="AN57" s="471"/>
      <c r="AO57" s="472"/>
      <c r="AP57" s="470"/>
      <c r="AQ57" s="471"/>
      <c r="AR57" s="490"/>
      <c r="AS57" s="563" t="s">
        <v>19</v>
      </c>
      <c r="AT57" s="562"/>
      <c r="AU57" s="562"/>
      <c r="AV57" s="562" t="s">
        <v>20</v>
      </c>
      <c r="AW57" s="562"/>
      <c r="AX57" s="562"/>
      <c r="AY57" s="562" t="s">
        <v>21</v>
      </c>
      <c r="AZ57" s="562"/>
      <c r="BA57" s="562"/>
      <c r="BB57" s="562" t="s">
        <v>22</v>
      </c>
      <c r="BC57" s="562"/>
      <c r="BD57" s="562"/>
      <c r="BE57" s="562" t="s">
        <v>23</v>
      </c>
      <c r="BF57" s="562"/>
      <c r="BG57" s="562"/>
      <c r="BH57" s="562"/>
      <c r="BI57" s="562"/>
      <c r="BJ57" s="562" t="s">
        <v>24</v>
      </c>
      <c r="BK57" s="562"/>
      <c r="BL57" s="575"/>
      <c r="BM57" s="562" t="s">
        <v>25</v>
      </c>
      <c r="BN57" s="562"/>
      <c r="BO57" s="576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3">
        <f>IF(Ergebniseingabe!C62="","",Ergebniseingabe!C62)</f>
      </c>
      <c r="C58" s="433"/>
      <c r="D58" s="433"/>
      <c r="E58" s="433"/>
      <c r="F58" s="433">
        <f>IF(Ergebniseingabe!G62="","",Ergebniseingabe!G62)</f>
      </c>
      <c r="G58" s="433"/>
      <c r="H58" s="433"/>
      <c r="J58" s="479">
        <f>Ergebniseingabe!K62</f>
        <v>1</v>
      </c>
      <c r="K58" s="480"/>
      <c r="L58" s="460" t="str">
        <f>Ergebniseingabe!M62</f>
        <v>GW Vernum 1</v>
      </c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76"/>
      <c r="AH58" s="476"/>
      <c r="AI58" s="477"/>
      <c r="AJ58" s="478" t="str">
        <f>Ergebniseingabe!AK62</f>
        <v>2:1</v>
      </c>
      <c r="AK58" s="478"/>
      <c r="AL58" s="478"/>
      <c r="AM58" s="478" t="str">
        <f>Ergebniseingabe!AN62</f>
        <v>2:1</v>
      </c>
      <c r="AN58" s="478"/>
      <c r="AO58" s="478"/>
      <c r="AP58" s="434" t="str">
        <f>Ergebniseingabe!AQ62</f>
        <v>0:0</v>
      </c>
      <c r="AQ58" s="435"/>
      <c r="AR58" s="435"/>
      <c r="AS58" s="435">
        <f>Ergebniseingabe!AT62</f>
        <v>3</v>
      </c>
      <c r="AT58" s="435"/>
      <c r="AU58" s="572"/>
      <c r="AV58" s="573">
        <f>Ergebniseingabe!AW62</f>
        <v>2</v>
      </c>
      <c r="AW58" s="569"/>
      <c r="AX58" s="568"/>
      <c r="AY58" s="573">
        <f>Ergebniseingabe!AZ62</f>
        <v>1</v>
      </c>
      <c r="AZ58" s="569"/>
      <c r="BA58" s="568"/>
      <c r="BB58" s="573">
        <f>Ergebniseingabe!BC62</f>
        <v>0</v>
      </c>
      <c r="BC58" s="569"/>
      <c r="BD58" s="568"/>
      <c r="BE58" s="569">
        <f>Ergebniseingabe!BF62</f>
        <v>4</v>
      </c>
      <c r="BF58" s="569"/>
      <c r="BG58" s="79" t="str">
        <f>Ergebniseingabe!BH62</f>
        <v>:</v>
      </c>
      <c r="BH58" s="568">
        <f>Ergebniseingabe!BI62</f>
        <v>2</v>
      </c>
      <c r="BI58" s="478"/>
      <c r="BJ58" s="570">
        <f>Ergebniseingabe!BK62</f>
        <v>2</v>
      </c>
      <c r="BK58" s="570"/>
      <c r="BL58" s="571"/>
      <c r="BM58" s="573">
        <f>Ergebniseingabe!BN62</f>
        <v>7</v>
      </c>
      <c r="BN58" s="569"/>
      <c r="BO58" s="577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3">
        <f>IF(Ergebniseingabe!C63="","",Ergebniseingabe!C63)</f>
      </c>
      <c r="C59" s="433"/>
      <c r="D59" s="433"/>
      <c r="E59" s="433"/>
      <c r="F59" s="433">
        <f>IF(Ergebniseingabe!G63="","",Ergebniseingabe!G63)</f>
      </c>
      <c r="G59" s="433"/>
      <c r="H59" s="433"/>
      <c r="J59" s="552">
        <f>Ergebniseingabe!K63</f>
        <v>2</v>
      </c>
      <c r="K59" s="553"/>
      <c r="L59" s="441" t="str">
        <f>Ergebniseingabe!M63</f>
        <v>FC Tannenhof 1</v>
      </c>
      <c r="M59" s="442"/>
      <c r="N59" s="442"/>
      <c r="O59" s="442"/>
      <c r="P59" s="442"/>
      <c r="Q59" s="442"/>
      <c r="R59" s="442"/>
      <c r="S59" s="44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62" t="str">
        <f>Ergebniseingabe!AH63</f>
        <v>1:2</v>
      </c>
      <c r="AH59" s="462"/>
      <c r="AI59" s="463"/>
      <c r="AJ59" s="558"/>
      <c r="AK59" s="558"/>
      <c r="AL59" s="558"/>
      <c r="AM59" s="487" t="str">
        <f>Ergebniseingabe!AN63</f>
        <v>2:0</v>
      </c>
      <c r="AN59" s="487"/>
      <c r="AO59" s="487"/>
      <c r="AP59" s="486" t="str">
        <f>Ergebniseingabe!AQ63</f>
        <v>0:0</v>
      </c>
      <c r="AQ59" s="462"/>
      <c r="AR59" s="462"/>
      <c r="AS59" s="462">
        <f>Ergebniseingabe!AT63</f>
        <v>3</v>
      </c>
      <c r="AT59" s="462"/>
      <c r="AU59" s="463"/>
      <c r="AV59" s="452">
        <f>Ergebniseingabe!AW63</f>
        <v>1</v>
      </c>
      <c r="AW59" s="453"/>
      <c r="AX59" s="454"/>
      <c r="AY59" s="452">
        <f>Ergebniseingabe!AZ63</f>
        <v>1</v>
      </c>
      <c r="AZ59" s="453"/>
      <c r="BA59" s="454"/>
      <c r="BB59" s="452">
        <f>Ergebniseingabe!BC63</f>
        <v>1</v>
      </c>
      <c r="BC59" s="453"/>
      <c r="BD59" s="454"/>
      <c r="BE59" s="453">
        <f>Ergebniseingabe!BF63</f>
        <v>3</v>
      </c>
      <c r="BF59" s="453"/>
      <c r="BG59" s="80" t="str">
        <f>Ergebniseingabe!BH63</f>
        <v>:</v>
      </c>
      <c r="BH59" s="454">
        <f>Ergebniseingabe!BI63</f>
        <v>2</v>
      </c>
      <c r="BI59" s="487"/>
      <c r="BJ59" s="564">
        <f>Ergebniseingabe!BK63</f>
        <v>1</v>
      </c>
      <c r="BK59" s="564"/>
      <c r="BL59" s="565"/>
      <c r="BM59" s="452">
        <f>Ergebniseingabe!BN63</f>
        <v>4</v>
      </c>
      <c r="BN59" s="453"/>
      <c r="BO59" s="560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3">
        <f>IF(Ergebniseingabe!C64="","",Ergebniseingabe!C64)</f>
      </c>
      <c r="C60" s="433"/>
      <c r="D60" s="433"/>
      <c r="E60" s="433"/>
      <c r="F60" s="433">
        <f>IF(Ergebniseingabe!G64="","",Ergebniseingabe!G64)</f>
      </c>
      <c r="G60" s="433"/>
      <c r="H60" s="433"/>
      <c r="J60" s="552">
        <f>Ergebniseingabe!K64</f>
        <v>3</v>
      </c>
      <c r="K60" s="553"/>
      <c r="L60" s="441" t="str">
        <f>Ergebniseingabe!M64</f>
        <v>GW Vernum 3</v>
      </c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62" t="str">
        <f>Ergebniseingabe!AH64</f>
        <v>1:2</v>
      </c>
      <c r="AH60" s="462"/>
      <c r="AI60" s="463"/>
      <c r="AJ60" s="487" t="str">
        <f>Ergebniseingabe!AK64</f>
        <v>0:2</v>
      </c>
      <c r="AK60" s="487"/>
      <c r="AL60" s="487"/>
      <c r="AM60" s="558"/>
      <c r="AN60" s="558"/>
      <c r="AO60" s="558"/>
      <c r="AP60" s="486" t="str">
        <f>Ergebniseingabe!AQ64</f>
        <v>2:1</v>
      </c>
      <c r="AQ60" s="462"/>
      <c r="AR60" s="462"/>
      <c r="AS60" s="462">
        <f>Ergebniseingabe!AT64</f>
        <v>3</v>
      </c>
      <c r="AT60" s="462"/>
      <c r="AU60" s="463"/>
      <c r="AV60" s="452">
        <f>Ergebniseingabe!AW64</f>
        <v>1</v>
      </c>
      <c r="AW60" s="453"/>
      <c r="AX60" s="454"/>
      <c r="AY60" s="452">
        <f>Ergebniseingabe!AZ64</f>
        <v>0</v>
      </c>
      <c r="AZ60" s="453"/>
      <c r="BA60" s="454"/>
      <c r="BB60" s="452">
        <f>Ergebniseingabe!BC64</f>
        <v>2</v>
      </c>
      <c r="BC60" s="453"/>
      <c r="BD60" s="454"/>
      <c r="BE60" s="453">
        <f>Ergebniseingabe!BF64</f>
        <v>3</v>
      </c>
      <c r="BF60" s="453"/>
      <c r="BG60" s="80" t="str">
        <f>Ergebniseingabe!BH64</f>
        <v>:</v>
      </c>
      <c r="BH60" s="454">
        <f>Ergebniseingabe!BI64</f>
        <v>5</v>
      </c>
      <c r="BI60" s="487"/>
      <c r="BJ60" s="564">
        <f>Ergebniseingabe!BK64</f>
        <v>-2</v>
      </c>
      <c r="BK60" s="564"/>
      <c r="BL60" s="565"/>
      <c r="BM60" s="452">
        <f>Ergebniseingabe!BN64</f>
        <v>3</v>
      </c>
      <c r="BN60" s="453"/>
      <c r="BO60" s="560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3">
        <f>IF(Ergebniseingabe!C65="","",Ergebniseingabe!C65)</f>
      </c>
      <c r="C61" s="433"/>
      <c r="D61" s="433"/>
      <c r="E61" s="433"/>
      <c r="F61" s="433">
        <f>IF(Ergebniseingabe!G65="","",Ergebniseingabe!G65)</f>
      </c>
      <c r="G61" s="433"/>
      <c r="H61" s="433"/>
      <c r="J61" s="618">
        <f>Ergebniseingabe!K65</f>
        <v>4</v>
      </c>
      <c r="K61" s="619"/>
      <c r="L61" s="439" t="str">
        <f>Ergebniseingabe!M65</f>
        <v>VfR 08 Oberhausen 2</v>
      </c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58" t="str">
        <f>Ergebniseingabe!AH65</f>
        <v>0:0</v>
      </c>
      <c r="AH61" s="458"/>
      <c r="AI61" s="459"/>
      <c r="AJ61" s="557" t="str">
        <f>Ergebniseingabe!AK65</f>
        <v>0:0</v>
      </c>
      <c r="AK61" s="557"/>
      <c r="AL61" s="557"/>
      <c r="AM61" s="557" t="str">
        <f>Ergebniseingabe!AN65</f>
        <v>1:2</v>
      </c>
      <c r="AN61" s="557"/>
      <c r="AO61" s="557"/>
      <c r="AP61" s="484"/>
      <c r="AQ61" s="485"/>
      <c r="AR61" s="485"/>
      <c r="AS61" s="458">
        <f>Ergebniseingabe!AT65</f>
        <v>3</v>
      </c>
      <c r="AT61" s="458"/>
      <c r="AU61" s="459"/>
      <c r="AV61" s="481">
        <f>Ergebniseingabe!AW65</f>
        <v>0</v>
      </c>
      <c r="AW61" s="482"/>
      <c r="AX61" s="483"/>
      <c r="AY61" s="481">
        <f>Ergebniseingabe!AZ65</f>
        <v>2</v>
      </c>
      <c r="AZ61" s="482"/>
      <c r="BA61" s="483"/>
      <c r="BB61" s="481">
        <f>Ergebniseingabe!BC65</f>
        <v>1</v>
      </c>
      <c r="BC61" s="482"/>
      <c r="BD61" s="483"/>
      <c r="BE61" s="482">
        <f>Ergebniseingabe!BF65</f>
        <v>1</v>
      </c>
      <c r="BF61" s="482"/>
      <c r="BG61" s="81" t="str">
        <f>Ergebniseingabe!BH65</f>
        <v>:</v>
      </c>
      <c r="BH61" s="483">
        <f>Ergebniseingabe!BI65</f>
        <v>2</v>
      </c>
      <c r="BI61" s="557"/>
      <c r="BJ61" s="578">
        <f>Ergebniseingabe!BK65</f>
        <v>-1</v>
      </c>
      <c r="BK61" s="578"/>
      <c r="BL61" s="579"/>
      <c r="BM61" s="481">
        <f>Ergebniseingabe!BN65</f>
        <v>2</v>
      </c>
      <c r="BN61" s="482"/>
      <c r="BO61" s="559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35" t="str">
        <f>$B$2</f>
        <v>SV Grün Weiß Vernum 1949 e.V.</v>
      </c>
      <c r="C64" s="535"/>
      <c r="D64" s="535"/>
      <c r="E64" s="535"/>
      <c r="F64" s="535"/>
      <c r="G64" s="535"/>
      <c r="H64" s="535"/>
      <c r="I64" s="535"/>
      <c r="J64" s="535"/>
      <c r="K64" s="535"/>
      <c r="L64" s="535"/>
      <c r="M64" s="535"/>
      <c r="N64" s="535"/>
      <c r="O64" s="535"/>
      <c r="P64" s="535"/>
      <c r="Q64" s="535"/>
      <c r="R64" s="535"/>
      <c r="S64" s="535"/>
      <c r="T64" s="535"/>
      <c r="U64" s="535"/>
      <c r="V64" s="535"/>
      <c r="W64" s="535"/>
      <c r="X64" s="535"/>
      <c r="Y64" s="535"/>
      <c r="Z64" s="535"/>
      <c r="AA64" s="535"/>
      <c r="AB64" s="535"/>
      <c r="AC64" s="535"/>
      <c r="AD64" s="535"/>
      <c r="AE64" s="535"/>
      <c r="AF64" s="535"/>
      <c r="AG64" s="535"/>
      <c r="AH64" s="535"/>
      <c r="AI64" s="535"/>
      <c r="AJ64" s="535"/>
      <c r="AK64" s="535"/>
      <c r="AL64" s="535"/>
      <c r="AM64" s="535"/>
      <c r="AN64" s="535"/>
      <c r="AO64" s="535"/>
      <c r="AP64" s="535"/>
      <c r="AQ64" s="535"/>
      <c r="AR64" s="535"/>
      <c r="AS64" s="535"/>
      <c r="AT64" s="535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515" t="str">
        <f>$B$3</f>
        <v>22. GWV Jugendturnier 2017</v>
      </c>
      <c r="C65" s="515"/>
      <c r="D65" s="515"/>
      <c r="E65" s="515"/>
      <c r="F65" s="515"/>
      <c r="G65" s="515"/>
      <c r="H65" s="515"/>
      <c r="I65" s="515"/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V65" s="213" t="s">
        <v>61</v>
      </c>
      <c r="AW65" s="213"/>
      <c r="AX65" s="213"/>
      <c r="AY65" s="213"/>
      <c r="AZ65" s="213"/>
      <c r="BA65" s="213"/>
      <c r="BB65" s="213"/>
      <c r="BC65" s="213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26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36">
        <f>B6</f>
        <v>42880</v>
      </c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20" t="s">
        <v>62</v>
      </c>
      <c r="B71" s="620"/>
      <c r="C71" s="620"/>
      <c r="D71" s="620"/>
      <c r="E71" s="620"/>
      <c r="F71" s="620"/>
      <c r="G71" s="621">
        <f>Ergebniseingabe!H70</f>
        <v>0.55625</v>
      </c>
      <c r="H71" s="621"/>
      <c r="I71" s="621"/>
      <c r="J71" s="621"/>
      <c r="K71" s="95" t="s">
        <v>0</v>
      </c>
      <c r="S71" s="100" t="s">
        <v>1</v>
      </c>
      <c r="T71" s="632">
        <f>Ergebniseingabe!U70</f>
        <v>1</v>
      </c>
      <c r="U71" s="632"/>
      <c r="V71" s="101" t="s">
        <v>2</v>
      </c>
      <c r="W71" s="631">
        <f>Ergebniseingabe!X70</f>
        <v>15</v>
      </c>
      <c r="X71" s="631"/>
      <c r="Y71" s="631"/>
      <c r="Z71" s="631"/>
      <c r="AA71" s="631"/>
      <c r="AB71" s="617">
        <f>Ergebniseingabe!AC70</f>
      </c>
      <c r="AC71" s="617"/>
      <c r="AD71" s="617"/>
      <c r="AE71" s="617"/>
      <c r="AF71" s="617"/>
      <c r="AG71" s="617"/>
      <c r="AH71" s="631">
        <f>Ergebniseingabe!AI70</f>
        <v>0</v>
      </c>
      <c r="AI71" s="631"/>
      <c r="AJ71" s="631"/>
      <c r="AK71" s="631"/>
      <c r="AL71" s="631"/>
      <c r="AM71" s="620" t="s">
        <v>3</v>
      </c>
      <c r="AN71" s="620"/>
      <c r="AO71" s="620"/>
      <c r="AP71" s="620"/>
      <c r="AQ71" s="620"/>
      <c r="AR71" s="620"/>
      <c r="AS71" s="620"/>
      <c r="AT71" s="620"/>
      <c r="AU71" s="620"/>
      <c r="AV71" s="630">
        <f>Ergebniseingabe!AW70</f>
        <v>3</v>
      </c>
      <c r="AW71" s="630"/>
      <c r="AX71" s="630"/>
      <c r="AY71" s="630"/>
      <c r="AZ71" s="630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9" t="s">
        <v>9</v>
      </c>
      <c r="C73" s="561"/>
      <c r="D73" s="561" t="s">
        <v>63</v>
      </c>
      <c r="E73" s="561"/>
      <c r="F73" s="561"/>
      <c r="G73" s="561"/>
      <c r="H73" s="431" t="s">
        <v>27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32"/>
      <c r="AY73" s="561" t="s">
        <v>12</v>
      </c>
      <c r="AZ73" s="561"/>
      <c r="BA73" s="561"/>
      <c r="BB73" s="561"/>
      <c r="BC73" s="431"/>
      <c r="BD73" s="428"/>
      <c r="BE73" s="429"/>
      <c r="BF73" s="429"/>
      <c r="BG73" s="430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17">
        <v>13</v>
      </c>
      <c r="C74" s="518"/>
      <c r="D74" s="521">
        <f>Ergebniseingabe!E73</f>
        <v>0.55625</v>
      </c>
      <c r="E74" s="521"/>
      <c r="F74" s="521"/>
      <c r="G74" s="521"/>
      <c r="H74" s="533" t="str">
        <f>Ergebniseingabe!I73</f>
        <v>GW Vernum 2</v>
      </c>
      <c r="I74" s="527"/>
      <c r="J74" s="527"/>
      <c r="K74" s="527"/>
      <c r="L74" s="527"/>
      <c r="M74" s="527"/>
      <c r="N74" s="527"/>
      <c r="O74" s="527"/>
      <c r="P74" s="527"/>
      <c r="Q74" s="527"/>
      <c r="R74" s="527"/>
      <c r="S74" s="527"/>
      <c r="T74" s="527"/>
      <c r="U74" s="527"/>
      <c r="V74" s="527"/>
      <c r="W74" s="527"/>
      <c r="X74" s="527"/>
      <c r="Y74" s="527"/>
      <c r="Z74" s="527"/>
      <c r="AA74" s="527"/>
      <c r="AB74" s="527"/>
      <c r="AC74" s="110" t="s">
        <v>14</v>
      </c>
      <c r="AD74" s="527" t="str">
        <f>Ergebniseingabe!AE73</f>
        <v>FC Tannenhof 1</v>
      </c>
      <c r="AE74" s="527"/>
      <c r="AF74" s="527"/>
      <c r="AG74" s="527"/>
      <c r="AH74" s="527"/>
      <c r="AI74" s="527"/>
      <c r="AJ74" s="527"/>
      <c r="AK74" s="527"/>
      <c r="AL74" s="527"/>
      <c r="AM74" s="527"/>
      <c r="AN74" s="527"/>
      <c r="AO74" s="527"/>
      <c r="AP74" s="527"/>
      <c r="AQ74" s="527"/>
      <c r="AR74" s="527"/>
      <c r="AS74" s="527"/>
      <c r="AT74" s="527"/>
      <c r="AU74" s="527"/>
      <c r="AV74" s="527"/>
      <c r="AW74" s="527"/>
      <c r="AX74" s="528"/>
      <c r="AY74" s="506">
        <f>IF(Ergebniseingabe!AZ73="","",Ergebniseingabe!AZ73)</f>
        <v>2</v>
      </c>
      <c r="AZ74" s="506"/>
      <c r="BA74" s="507"/>
      <c r="BB74" s="526">
        <f>IF(Ergebniseingabe!BC73="","",Ergebniseingabe!BC73)</f>
        <v>1</v>
      </c>
      <c r="BC74" s="526"/>
      <c r="BD74" s="425">
        <f>IF(Ergebniseingabe!BE73="","",Ergebniseingabe!BE73)</f>
      </c>
      <c r="BE74" s="426"/>
      <c r="BF74" s="426"/>
      <c r="BG74" s="427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19"/>
      <c r="C75" s="520"/>
      <c r="D75" s="522"/>
      <c r="E75" s="522"/>
      <c r="F75" s="522"/>
      <c r="G75" s="522"/>
      <c r="H75" s="534" t="s">
        <v>28</v>
      </c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111"/>
      <c r="AD75" s="510" t="s">
        <v>29</v>
      </c>
      <c r="AE75" s="510"/>
      <c r="AF75" s="510"/>
      <c r="AG75" s="510"/>
      <c r="AH75" s="510"/>
      <c r="AI75" s="510"/>
      <c r="AJ75" s="510"/>
      <c r="AK75" s="510"/>
      <c r="AL75" s="510"/>
      <c r="AM75" s="510"/>
      <c r="AN75" s="510"/>
      <c r="AO75" s="510"/>
      <c r="AP75" s="510"/>
      <c r="AQ75" s="510"/>
      <c r="AR75" s="510"/>
      <c r="AS75" s="510"/>
      <c r="AT75" s="510"/>
      <c r="AU75" s="510"/>
      <c r="AV75" s="510"/>
      <c r="AW75" s="510"/>
      <c r="AX75" s="511"/>
      <c r="AY75" s="508"/>
      <c r="AZ75" s="508"/>
      <c r="BA75" s="508"/>
      <c r="BB75" s="508"/>
      <c r="BC75" s="509"/>
      <c r="BD75" s="443"/>
      <c r="BE75" s="444"/>
      <c r="BF75" s="444"/>
      <c r="BG75" s="445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9" t="s">
        <v>9</v>
      </c>
      <c r="C77" s="561"/>
      <c r="D77" s="561" t="s">
        <v>63</v>
      </c>
      <c r="E77" s="561"/>
      <c r="F77" s="561"/>
      <c r="G77" s="561"/>
      <c r="H77" s="431" t="s">
        <v>30</v>
      </c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32"/>
      <c r="AY77" s="561" t="s">
        <v>12</v>
      </c>
      <c r="AZ77" s="561"/>
      <c r="BA77" s="561"/>
      <c r="BB77" s="561"/>
      <c r="BC77" s="431"/>
      <c r="BD77" s="428"/>
      <c r="BE77" s="429"/>
      <c r="BF77" s="429"/>
      <c r="BG77" s="430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17">
        <v>14</v>
      </c>
      <c r="C78" s="518"/>
      <c r="D78" s="521">
        <f>Ergebniseingabe!E77</f>
        <v>0.56875</v>
      </c>
      <c r="E78" s="521"/>
      <c r="F78" s="521"/>
      <c r="G78" s="521"/>
      <c r="H78" s="533" t="str">
        <f>Ergebniseingabe!I77</f>
        <v>GW Vernum 1</v>
      </c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110" t="s">
        <v>14</v>
      </c>
      <c r="AD78" s="527" t="str">
        <f>Ergebniseingabe!AE77</f>
        <v>SC Auwel-Holt</v>
      </c>
      <c r="AE78" s="527"/>
      <c r="AF78" s="527"/>
      <c r="AG78" s="527"/>
      <c r="AH78" s="527"/>
      <c r="AI78" s="527"/>
      <c r="AJ78" s="527"/>
      <c r="AK78" s="527"/>
      <c r="AL78" s="527"/>
      <c r="AM78" s="527"/>
      <c r="AN78" s="527"/>
      <c r="AO78" s="527"/>
      <c r="AP78" s="527"/>
      <c r="AQ78" s="527"/>
      <c r="AR78" s="527"/>
      <c r="AS78" s="527"/>
      <c r="AT78" s="527"/>
      <c r="AU78" s="527"/>
      <c r="AV78" s="527"/>
      <c r="AW78" s="527"/>
      <c r="AX78" s="528"/>
      <c r="AY78" s="506">
        <f>IF(Ergebniseingabe!AZ77="","",Ergebniseingabe!AZ77)</f>
        <v>2</v>
      </c>
      <c r="AZ78" s="506"/>
      <c r="BA78" s="507"/>
      <c r="BB78" s="526">
        <f>IF(Ergebniseingabe!BC77="","",Ergebniseingabe!BC77)</f>
        <v>1</v>
      </c>
      <c r="BC78" s="526"/>
      <c r="BD78" s="425">
        <f>IF(Ergebniseingabe!BE77="","",Ergebniseingabe!BE77)</f>
      </c>
      <c r="BE78" s="426"/>
      <c r="BF78" s="426"/>
      <c r="BG78" s="427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19"/>
      <c r="C79" s="520"/>
      <c r="D79" s="522"/>
      <c r="E79" s="522"/>
      <c r="F79" s="522"/>
      <c r="G79" s="522"/>
      <c r="H79" s="534" t="s">
        <v>31</v>
      </c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111"/>
      <c r="AD79" s="510" t="s">
        <v>32</v>
      </c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/>
      <c r="AU79" s="510"/>
      <c r="AV79" s="510"/>
      <c r="AW79" s="510"/>
      <c r="AX79" s="511"/>
      <c r="AY79" s="508"/>
      <c r="AZ79" s="508"/>
      <c r="BA79" s="508"/>
      <c r="BB79" s="508"/>
      <c r="BC79" s="509"/>
      <c r="BD79" s="443"/>
      <c r="BE79" s="444"/>
      <c r="BF79" s="444"/>
      <c r="BG79" s="445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29" t="s">
        <v>9</v>
      </c>
      <c r="C81" s="525"/>
      <c r="D81" s="525" t="s">
        <v>63</v>
      </c>
      <c r="E81" s="525"/>
      <c r="F81" s="525"/>
      <c r="G81" s="525"/>
      <c r="H81" s="523" t="s">
        <v>33</v>
      </c>
      <c r="I81" s="450"/>
      <c r="J81" s="450"/>
      <c r="K81" s="450"/>
      <c r="L81" s="450"/>
      <c r="M81" s="450"/>
      <c r="N81" s="450"/>
      <c r="O81" s="450"/>
      <c r="P81" s="450"/>
      <c r="Q81" s="450"/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50"/>
      <c r="AC81" s="450"/>
      <c r="AD81" s="450"/>
      <c r="AE81" s="450"/>
      <c r="AF81" s="450"/>
      <c r="AG81" s="450"/>
      <c r="AH81" s="450"/>
      <c r="AI81" s="450"/>
      <c r="AJ81" s="450"/>
      <c r="AK81" s="450"/>
      <c r="AL81" s="450"/>
      <c r="AM81" s="450"/>
      <c r="AN81" s="450"/>
      <c r="AO81" s="450"/>
      <c r="AP81" s="450"/>
      <c r="AQ81" s="450"/>
      <c r="AR81" s="450"/>
      <c r="AS81" s="450"/>
      <c r="AT81" s="450"/>
      <c r="AU81" s="450"/>
      <c r="AV81" s="450"/>
      <c r="AW81" s="450"/>
      <c r="AX81" s="524"/>
      <c r="AY81" s="525" t="s">
        <v>12</v>
      </c>
      <c r="AZ81" s="525"/>
      <c r="BA81" s="525"/>
      <c r="BB81" s="525"/>
      <c r="BC81" s="523"/>
      <c r="BD81" s="449"/>
      <c r="BE81" s="450"/>
      <c r="BF81" s="450"/>
      <c r="BG81" s="451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17">
        <v>15</v>
      </c>
      <c r="C82" s="518"/>
      <c r="D82" s="521">
        <f>Ergebniseingabe!E81</f>
        <v>0.5812499999999999</v>
      </c>
      <c r="E82" s="521"/>
      <c r="F82" s="521"/>
      <c r="G82" s="521"/>
      <c r="H82" s="533" t="str">
        <f>Ergebniseingabe!I81</f>
        <v>FC Tannenhof 2</v>
      </c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110" t="s">
        <v>14</v>
      </c>
      <c r="AD82" s="527" t="str">
        <f>Ergebniseingabe!AE81</f>
        <v>VfR 08 Oberhausen 2</v>
      </c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8"/>
      <c r="AY82" s="506">
        <f>IF(Ergebniseingabe!AZ81="","",Ergebniseingabe!AZ81)</f>
        <v>2</v>
      </c>
      <c r="AZ82" s="506"/>
      <c r="BA82" s="507"/>
      <c r="BB82" s="526">
        <f>IF(Ergebniseingabe!BC81="","",Ergebniseingabe!BC81)</f>
        <v>1</v>
      </c>
      <c r="BC82" s="526"/>
      <c r="BD82" s="425" t="str">
        <f>IF(Ergebniseingabe!BE81="","",Ergebniseingabe!BE81)</f>
        <v>n. 9m</v>
      </c>
      <c r="BE82" s="426"/>
      <c r="BF82" s="426"/>
      <c r="BG82" s="427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19"/>
      <c r="C83" s="520"/>
      <c r="D83" s="522"/>
      <c r="E83" s="522"/>
      <c r="F83" s="522"/>
      <c r="G83" s="522"/>
      <c r="H83" s="534" t="s">
        <v>34</v>
      </c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111"/>
      <c r="AD83" s="510" t="s">
        <v>35</v>
      </c>
      <c r="AE83" s="510"/>
      <c r="AF83" s="510"/>
      <c r="AG83" s="510"/>
      <c r="AH83" s="510"/>
      <c r="AI83" s="510"/>
      <c r="AJ83" s="510"/>
      <c r="AK83" s="510"/>
      <c r="AL83" s="510"/>
      <c r="AM83" s="510"/>
      <c r="AN83" s="510"/>
      <c r="AO83" s="510"/>
      <c r="AP83" s="510"/>
      <c r="AQ83" s="510"/>
      <c r="AR83" s="510"/>
      <c r="AS83" s="510"/>
      <c r="AT83" s="510"/>
      <c r="AU83" s="510"/>
      <c r="AV83" s="510"/>
      <c r="AW83" s="510"/>
      <c r="AX83" s="511"/>
      <c r="AY83" s="508"/>
      <c r="AZ83" s="508"/>
      <c r="BA83" s="508"/>
      <c r="BB83" s="508"/>
      <c r="BC83" s="509"/>
      <c r="BD83" s="443"/>
      <c r="BE83" s="444"/>
      <c r="BF83" s="444"/>
      <c r="BG83" s="445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29" t="s">
        <v>9</v>
      </c>
      <c r="C85" s="525"/>
      <c r="D85" s="525" t="s">
        <v>63</v>
      </c>
      <c r="E85" s="525"/>
      <c r="F85" s="525"/>
      <c r="G85" s="525"/>
      <c r="H85" s="523" t="s">
        <v>36</v>
      </c>
      <c r="I85" s="450"/>
      <c r="J85" s="450"/>
      <c r="K85" s="450"/>
      <c r="L85" s="450"/>
      <c r="M85" s="450"/>
      <c r="N85" s="450"/>
      <c r="O85" s="450"/>
      <c r="P85" s="450"/>
      <c r="Q85" s="450"/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50"/>
      <c r="AC85" s="450"/>
      <c r="AD85" s="450"/>
      <c r="AE85" s="450"/>
      <c r="AF85" s="450"/>
      <c r="AG85" s="450"/>
      <c r="AH85" s="450"/>
      <c r="AI85" s="450"/>
      <c r="AJ85" s="450"/>
      <c r="AK85" s="450"/>
      <c r="AL85" s="450"/>
      <c r="AM85" s="450"/>
      <c r="AN85" s="450"/>
      <c r="AO85" s="450"/>
      <c r="AP85" s="450"/>
      <c r="AQ85" s="450"/>
      <c r="AR85" s="450"/>
      <c r="AS85" s="450"/>
      <c r="AT85" s="450"/>
      <c r="AU85" s="450"/>
      <c r="AV85" s="450"/>
      <c r="AW85" s="450"/>
      <c r="AX85" s="524"/>
      <c r="AY85" s="525" t="s">
        <v>12</v>
      </c>
      <c r="AZ85" s="525"/>
      <c r="BA85" s="525"/>
      <c r="BB85" s="525"/>
      <c r="BC85" s="523"/>
      <c r="BD85" s="449"/>
      <c r="BE85" s="450"/>
      <c r="BF85" s="450"/>
      <c r="BG85" s="451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17">
        <v>16</v>
      </c>
      <c r="C86" s="518"/>
      <c r="D86" s="521">
        <f>Ergebniseingabe!E85</f>
        <v>0.5937499999999999</v>
      </c>
      <c r="E86" s="521"/>
      <c r="F86" s="521"/>
      <c r="G86" s="521"/>
      <c r="H86" s="533" t="str">
        <f>Ergebniseingabe!I85</f>
        <v>VfR 08 Oberhausen 1</v>
      </c>
      <c r="I86" s="527"/>
      <c r="J86" s="527"/>
      <c r="K86" s="527"/>
      <c r="L86" s="527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110" t="s">
        <v>14</v>
      </c>
      <c r="AD86" s="527" t="str">
        <f>Ergebniseingabe!AE85</f>
        <v>GW Vernum 3</v>
      </c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8"/>
      <c r="AY86" s="506">
        <f>IF(Ergebniseingabe!AZ85="","",Ergebniseingabe!AZ85)</f>
        <v>3</v>
      </c>
      <c r="AZ86" s="506"/>
      <c r="BA86" s="507"/>
      <c r="BB86" s="526">
        <f>IF(Ergebniseingabe!BC85="","",Ergebniseingabe!BC85)</f>
        <v>0</v>
      </c>
      <c r="BC86" s="526"/>
      <c r="BD86" s="425">
        <f>IF(Ergebniseingabe!BE85="","",Ergebniseingabe!BE85)</f>
      </c>
      <c r="BE86" s="426"/>
      <c r="BF86" s="426"/>
      <c r="BG86" s="427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19"/>
      <c r="C87" s="520"/>
      <c r="D87" s="522"/>
      <c r="E87" s="522"/>
      <c r="F87" s="522"/>
      <c r="G87" s="522"/>
      <c r="H87" s="534" t="s">
        <v>37</v>
      </c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111"/>
      <c r="AD87" s="510" t="s">
        <v>38</v>
      </c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/>
      <c r="AU87" s="510"/>
      <c r="AV87" s="510"/>
      <c r="AW87" s="510"/>
      <c r="AX87" s="511"/>
      <c r="AY87" s="508"/>
      <c r="AZ87" s="508"/>
      <c r="BA87" s="508"/>
      <c r="BB87" s="508"/>
      <c r="BC87" s="509"/>
      <c r="BD87" s="443"/>
      <c r="BE87" s="444"/>
      <c r="BF87" s="444"/>
      <c r="BG87" s="445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28" t="s">
        <v>9</v>
      </c>
      <c r="C89" s="530"/>
      <c r="D89" s="530" t="s">
        <v>63</v>
      </c>
      <c r="E89" s="530"/>
      <c r="F89" s="530"/>
      <c r="G89" s="530"/>
      <c r="H89" s="531" t="s">
        <v>39</v>
      </c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532"/>
      <c r="AY89" s="530" t="s">
        <v>12</v>
      </c>
      <c r="AZ89" s="530"/>
      <c r="BA89" s="530"/>
      <c r="BB89" s="530"/>
      <c r="BC89" s="531"/>
      <c r="BD89" s="446"/>
      <c r="BE89" s="447"/>
      <c r="BF89" s="447"/>
      <c r="BG89" s="448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17">
        <v>17</v>
      </c>
      <c r="C90" s="518"/>
      <c r="D90" s="521">
        <f>Ergebniseingabe!E89</f>
        <v>0.6062499999999998</v>
      </c>
      <c r="E90" s="521"/>
      <c r="F90" s="521"/>
      <c r="G90" s="521"/>
      <c r="H90" s="533" t="str">
        <f>Ergebniseingabe!I89</f>
        <v>FC Tannenhof 1</v>
      </c>
      <c r="I90" s="527"/>
      <c r="J90" s="527"/>
      <c r="K90" s="527"/>
      <c r="L90" s="527"/>
      <c r="M90" s="527"/>
      <c r="N90" s="527"/>
      <c r="O90" s="527"/>
      <c r="P90" s="527"/>
      <c r="Q90" s="527"/>
      <c r="R90" s="527"/>
      <c r="S90" s="527"/>
      <c r="T90" s="527"/>
      <c r="U90" s="527"/>
      <c r="V90" s="527"/>
      <c r="W90" s="527"/>
      <c r="X90" s="527"/>
      <c r="Y90" s="527"/>
      <c r="Z90" s="527"/>
      <c r="AA90" s="527"/>
      <c r="AB90" s="527"/>
      <c r="AC90" s="110" t="s">
        <v>14</v>
      </c>
      <c r="AD90" s="527" t="str">
        <f>Ergebniseingabe!AE89</f>
        <v>SC Auwel-Holt</v>
      </c>
      <c r="AE90" s="527"/>
      <c r="AF90" s="527"/>
      <c r="AG90" s="527"/>
      <c r="AH90" s="527"/>
      <c r="AI90" s="527"/>
      <c r="AJ90" s="527"/>
      <c r="AK90" s="527"/>
      <c r="AL90" s="527"/>
      <c r="AM90" s="527"/>
      <c r="AN90" s="527"/>
      <c r="AO90" s="527"/>
      <c r="AP90" s="527"/>
      <c r="AQ90" s="527"/>
      <c r="AR90" s="527"/>
      <c r="AS90" s="527"/>
      <c r="AT90" s="527"/>
      <c r="AU90" s="527"/>
      <c r="AV90" s="527"/>
      <c r="AW90" s="527"/>
      <c r="AX90" s="528"/>
      <c r="AY90" s="506">
        <f>IF(Ergebniseingabe!AZ89="","",Ergebniseingabe!AZ89)</f>
        <v>0</v>
      </c>
      <c r="AZ90" s="506"/>
      <c r="BA90" s="507"/>
      <c r="BB90" s="526">
        <f>IF(Ergebniseingabe!BC89="","",Ergebniseingabe!BC89)</f>
        <v>4</v>
      </c>
      <c r="BC90" s="526"/>
      <c r="BD90" s="425">
        <f>IF(Ergebniseingabe!BE89="","",Ergebniseingabe!BE89)</f>
      </c>
      <c r="BE90" s="426"/>
      <c r="BF90" s="426"/>
      <c r="BG90" s="427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19"/>
      <c r="C91" s="520"/>
      <c r="D91" s="522"/>
      <c r="E91" s="522"/>
      <c r="F91" s="522"/>
      <c r="G91" s="522"/>
      <c r="H91" s="534" t="s">
        <v>40</v>
      </c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111"/>
      <c r="AD91" s="510" t="s">
        <v>41</v>
      </c>
      <c r="AE91" s="510"/>
      <c r="AF91" s="510"/>
      <c r="AG91" s="510"/>
      <c r="AH91" s="510"/>
      <c r="AI91" s="510"/>
      <c r="AJ91" s="510"/>
      <c r="AK91" s="510"/>
      <c r="AL91" s="510"/>
      <c r="AM91" s="510"/>
      <c r="AN91" s="510"/>
      <c r="AO91" s="510"/>
      <c r="AP91" s="510"/>
      <c r="AQ91" s="510"/>
      <c r="AR91" s="510"/>
      <c r="AS91" s="510"/>
      <c r="AT91" s="510"/>
      <c r="AU91" s="510"/>
      <c r="AV91" s="510"/>
      <c r="AW91" s="510"/>
      <c r="AX91" s="511"/>
      <c r="AY91" s="508"/>
      <c r="AZ91" s="508"/>
      <c r="BA91" s="508"/>
      <c r="BB91" s="508"/>
      <c r="BC91" s="509"/>
      <c r="BD91" s="443"/>
      <c r="BE91" s="444"/>
      <c r="BF91" s="444"/>
      <c r="BG91" s="445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28" t="s">
        <v>9</v>
      </c>
      <c r="C93" s="530"/>
      <c r="D93" s="530" t="s">
        <v>63</v>
      </c>
      <c r="E93" s="530"/>
      <c r="F93" s="530"/>
      <c r="G93" s="530"/>
      <c r="H93" s="531" t="s">
        <v>42</v>
      </c>
      <c r="I93" s="447"/>
      <c r="J93" s="447"/>
      <c r="K93" s="447"/>
      <c r="L93" s="447"/>
      <c r="M93" s="447"/>
      <c r="N93" s="447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532"/>
      <c r="AY93" s="530" t="s">
        <v>12</v>
      </c>
      <c r="AZ93" s="530"/>
      <c r="BA93" s="530"/>
      <c r="BB93" s="530"/>
      <c r="BC93" s="531"/>
      <c r="BD93" s="446"/>
      <c r="BE93" s="447"/>
      <c r="BF93" s="447"/>
      <c r="BG93" s="448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17">
        <v>18</v>
      </c>
      <c r="C94" s="518"/>
      <c r="D94" s="521">
        <f>Ergebniseingabe!E93</f>
        <v>0.6187499999999998</v>
      </c>
      <c r="E94" s="521"/>
      <c r="F94" s="521"/>
      <c r="G94" s="521"/>
      <c r="H94" s="533" t="str">
        <f>Ergebniseingabe!I93</f>
        <v>GW Vernum 2</v>
      </c>
      <c r="I94" s="527"/>
      <c r="J94" s="527"/>
      <c r="K94" s="527"/>
      <c r="L94" s="527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110" t="s">
        <v>14</v>
      </c>
      <c r="AD94" s="527" t="str">
        <f>Ergebniseingabe!AE93</f>
        <v>GW Vernum 1</v>
      </c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8"/>
      <c r="AY94" s="506">
        <f>IF(Ergebniseingabe!AZ93="","",Ergebniseingabe!AZ93)</f>
        <v>3</v>
      </c>
      <c r="AZ94" s="506"/>
      <c r="BA94" s="507"/>
      <c r="BB94" s="526">
        <f>IF(Ergebniseingabe!BC93="","",Ergebniseingabe!BC93)</f>
        <v>4</v>
      </c>
      <c r="BC94" s="526"/>
      <c r="BD94" s="425" t="str">
        <f>IF(Ergebniseingabe!BE93="","",Ergebniseingabe!BE93)</f>
        <v>n. 9m</v>
      </c>
      <c r="BE94" s="426"/>
      <c r="BF94" s="426"/>
      <c r="BG94" s="427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19"/>
      <c r="C95" s="520"/>
      <c r="D95" s="522"/>
      <c r="E95" s="522"/>
      <c r="F95" s="522"/>
      <c r="G95" s="522"/>
      <c r="H95" s="534" t="s">
        <v>43</v>
      </c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111"/>
      <c r="AD95" s="510" t="s">
        <v>44</v>
      </c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/>
      <c r="AU95" s="510"/>
      <c r="AV95" s="510"/>
      <c r="AW95" s="510"/>
      <c r="AX95" s="511"/>
      <c r="AY95" s="508"/>
      <c r="AZ95" s="508"/>
      <c r="BA95" s="508"/>
      <c r="BB95" s="508"/>
      <c r="BC95" s="509"/>
      <c r="BD95" s="443"/>
      <c r="BE95" s="444"/>
      <c r="BF95" s="444"/>
      <c r="BG95" s="445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93" t="s">
        <v>46</v>
      </c>
      <c r="J100" s="494"/>
      <c r="K100" s="503" t="str">
        <f>Ergebniseingabe!L98</f>
        <v>GW Vernum 1</v>
      </c>
      <c r="L100" s="504"/>
      <c r="M100" s="504"/>
      <c r="N100" s="504"/>
      <c r="O100" s="504"/>
      <c r="P100" s="504"/>
      <c r="Q100" s="504"/>
      <c r="R100" s="504"/>
      <c r="S100" s="504"/>
      <c r="T100" s="504"/>
      <c r="U100" s="504"/>
      <c r="V100" s="504"/>
      <c r="W100" s="504"/>
      <c r="X100" s="504"/>
      <c r="Y100" s="504"/>
      <c r="Z100" s="504"/>
      <c r="AA100" s="504"/>
      <c r="AB100" s="504"/>
      <c r="AC100" s="504"/>
      <c r="AD100" s="504"/>
      <c r="AE100" s="505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91" t="s">
        <v>47</v>
      </c>
      <c r="J101" s="492"/>
      <c r="K101" s="500" t="str">
        <f>Ergebniseingabe!L99</f>
        <v>GW Vernum 2</v>
      </c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2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91" t="s">
        <v>48</v>
      </c>
      <c r="J102" s="492"/>
      <c r="K102" s="500" t="str">
        <f>Ergebniseingabe!L100</f>
        <v>SC Auwel-Holt</v>
      </c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2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91" t="s">
        <v>49</v>
      </c>
      <c r="J103" s="492"/>
      <c r="K103" s="500" t="str">
        <f>Ergebniseingabe!L101</f>
        <v>FC Tannenhof 1</v>
      </c>
      <c r="L103" s="501"/>
      <c r="M103" s="501"/>
      <c r="N103" s="501"/>
      <c r="O103" s="501"/>
      <c r="P103" s="501"/>
      <c r="Q103" s="501"/>
      <c r="R103" s="501"/>
      <c r="S103" s="501"/>
      <c r="T103" s="501"/>
      <c r="U103" s="501"/>
      <c r="V103" s="501"/>
      <c r="W103" s="501"/>
      <c r="X103" s="501"/>
      <c r="Y103" s="501"/>
      <c r="Z103" s="501"/>
      <c r="AA103" s="501"/>
      <c r="AB103" s="501"/>
      <c r="AC103" s="501"/>
      <c r="AD103" s="501"/>
      <c r="AE103" s="502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91" t="s">
        <v>50</v>
      </c>
      <c r="J104" s="492"/>
      <c r="K104" s="500" t="str">
        <f>Ergebniseingabe!L102</f>
        <v>VfR 08 Oberhausen 1</v>
      </c>
      <c r="L104" s="501"/>
      <c r="M104" s="501"/>
      <c r="N104" s="501"/>
      <c r="O104" s="501"/>
      <c r="P104" s="501"/>
      <c r="Q104" s="501"/>
      <c r="R104" s="501"/>
      <c r="S104" s="501"/>
      <c r="T104" s="501"/>
      <c r="U104" s="501"/>
      <c r="V104" s="501"/>
      <c r="W104" s="501"/>
      <c r="X104" s="501"/>
      <c r="Y104" s="501"/>
      <c r="Z104" s="501"/>
      <c r="AA104" s="501"/>
      <c r="AB104" s="501"/>
      <c r="AC104" s="501"/>
      <c r="AD104" s="501"/>
      <c r="AE104" s="502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91" t="s">
        <v>51</v>
      </c>
      <c r="J105" s="492"/>
      <c r="K105" s="500" t="str">
        <f>Ergebniseingabe!L103</f>
        <v>GW Vernum 3</v>
      </c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2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91" t="s">
        <v>52</v>
      </c>
      <c r="J106" s="492"/>
      <c r="K106" s="500" t="str">
        <f>Ergebniseingabe!L104</f>
        <v>FC Tannenhof 2</v>
      </c>
      <c r="L106" s="501"/>
      <c r="M106" s="501"/>
      <c r="N106" s="501"/>
      <c r="O106" s="501"/>
      <c r="P106" s="501"/>
      <c r="Q106" s="501"/>
      <c r="R106" s="501"/>
      <c r="S106" s="501"/>
      <c r="T106" s="501"/>
      <c r="U106" s="501"/>
      <c r="V106" s="501"/>
      <c r="W106" s="501"/>
      <c r="X106" s="501"/>
      <c r="Y106" s="501"/>
      <c r="Z106" s="501"/>
      <c r="AA106" s="501"/>
      <c r="AB106" s="501"/>
      <c r="AC106" s="501"/>
      <c r="AD106" s="501"/>
      <c r="AE106" s="502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95" t="s">
        <v>53</v>
      </c>
      <c r="J107" s="496"/>
      <c r="K107" s="497" t="str">
        <f>Ergebniseingabe!L105</f>
        <v>VfR 08 Oberhausen 2</v>
      </c>
      <c r="L107" s="498"/>
      <c r="M107" s="498"/>
      <c r="N107" s="498"/>
      <c r="O107" s="498"/>
      <c r="P107" s="498"/>
      <c r="Q107" s="498"/>
      <c r="R107" s="498"/>
      <c r="S107" s="498"/>
      <c r="T107" s="498"/>
      <c r="U107" s="498"/>
      <c r="V107" s="498"/>
      <c r="W107" s="498"/>
      <c r="X107" s="498"/>
      <c r="Y107" s="498"/>
      <c r="Z107" s="498"/>
      <c r="AA107" s="498"/>
      <c r="AB107" s="498"/>
      <c r="AC107" s="498"/>
      <c r="AD107" s="498"/>
      <c r="AE107" s="499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195" t="s">
        <v>65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196" t="s">
        <v>66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196" t="s">
        <v>67</v>
      </c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196" t="s">
        <v>68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6"/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4" t="s">
        <v>69</v>
      </c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194"/>
      <c r="AB113" s="194"/>
      <c r="AC113" s="194"/>
      <c r="AD113" s="194"/>
      <c r="AE113" s="194"/>
      <c r="AF113" s="194"/>
      <c r="AG113" s="194"/>
      <c r="AH113" s="194"/>
      <c r="AI113" s="194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3" t="s">
        <v>70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  <c r="AA114" s="193"/>
      <c r="AB114" s="193"/>
      <c r="AC114" s="193"/>
      <c r="AD114" s="193"/>
      <c r="AE114" s="193"/>
      <c r="AF114" s="193"/>
      <c r="AG114" s="193"/>
      <c r="AH114" s="193"/>
      <c r="AI114" s="193"/>
      <c r="AJ114" s="193"/>
      <c r="AK114" s="193"/>
      <c r="AL114" s="193"/>
      <c r="AM114" s="193"/>
      <c r="AN114" s="193"/>
      <c r="AO114" s="193"/>
      <c r="AP114" s="193"/>
      <c r="AQ114" s="193"/>
      <c r="AR114" s="193"/>
      <c r="AS114" s="193"/>
      <c r="AT114" s="193"/>
      <c r="AU114" s="193"/>
      <c r="AV114" s="193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3" t="s">
        <v>71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3" t="s">
        <v>72</v>
      </c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  <c r="AA116" s="193"/>
      <c r="AB116" s="193"/>
      <c r="AC116" s="193"/>
      <c r="AD116" s="193"/>
      <c r="AE116" s="193"/>
      <c r="AF116" s="193"/>
      <c r="AG116" s="193"/>
      <c r="AH116" s="193"/>
      <c r="AI116" s="193"/>
      <c r="AJ116" s="193"/>
      <c r="AK116" s="193"/>
      <c r="AL116" s="193"/>
      <c r="AM116" s="193"/>
      <c r="AN116" s="193"/>
      <c r="AO116" s="193"/>
      <c r="AP116" s="193"/>
      <c r="AQ116" s="193"/>
      <c r="AR116" s="193"/>
      <c r="AS116" s="193"/>
      <c r="AT116" s="193"/>
      <c r="AU116" s="193"/>
      <c r="AV116" s="193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3" t="s">
        <v>73</v>
      </c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B2:AT2"/>
    <mergeCell ref="B6:AT6"/>
    <mergeCell ref="AD78:AX78"/>
    <mergeCell ref="AD74:AX74"/>
    <mergeCell ref="B22:C22"/>
    <mergeCell ref="D22:F22"/>
    <mergeCell ref="B24:C24"/>
    <mergeCell ref="K23:AE23"/>
    <mergeCell ref="B74:C75"/>
    <mergeCell ref="AM71:AU71"/>
    <mergeCell ref="B73:C73"/>
    <mergeCell ref="AV71:AZ71"/>
    <mergeCell ref="H74:AB74"/>
    <mergeCell ref="D77:G77"/>
    <mergeCell ref="AH71:AL71"/>
    <mergeCell ref="T71:U71"/>
    <mergeCell ref="W71:AA71"/>
    <mergeCell ref="H90:AB90"/>
    <mergeCell ref="H93:AX93"/>
    <mergeCell ref="AD91:AX91"/>
    <mergeCell ref="H91:AB91"/>
    <mergeCell ref="AD79:AX79"/>
    <mergeCell ref="AD75:AX75"/>
    <mergeCell ref="H81:AX81"/>
    <mergeCell ref="H77:AX77"/>
    <mergeCell ref="H86:AB86"/>
    <mergeCell ref="H82:AB82"/>
    <mergeCell ref="D32:F32"/>
    <mergeCell ref="B94:C95"/>
    <mergeCell ref="B93:C93"/>
    <mergeCell ref="B77:C77"/>
    <mergeCell ref="AD87:AX87"/>
    <mergeCell ref="H87:AB87"/>
    <mergeCell ref="B86:C87"/>
    <mergeCell ref="H78:AB78"/>
    <mergeCell ref="B78:C79"/>
    <mergeCell ref="AD83:AX83"/>
    <mergeCell ref="K31:AE31"/>
    <mergeCell ref="K24:AE24"/>
    <mergeCell ref="K30:AE30"/>
    <mergeCell ref="K29:AE29"/>
    <mergeCell ref="G26:J26"/>
    <mergeCell ref="D27:F27"/>
    <mergeCell ref="D26:F26"/>
    <mergeCell ref="G27:J27"/>
    <mergeCell ref="G25:J25"/>
    <mergeCell ref="G24:J24"/>
    <mergeCell ref="AB14:AV14"/>
    <mergeCell ref="C14:W14"/>
    <mergeCell ref="K22:BA22"/>
    <mergeCell ref="B90:C91"/>
    <mergeCell ref="B89:C89"/>
    <mergeCell ref="B26:C26"/>
    <mergeCell ref="B27:C27"/>
    <mergeCell ref="B29:C29"/>
    <mergeCell ref="B31:C31"/>
    <mergeCell ref="K32:AE32"/>
    <mergeCell ref="AG24:BA24"/>
    <mergeCell ref="AG23:BA23"/>
    <mergeCell ref="AG25:BA25"/>
    <mergeCell ref="K25:AE25"/>
    <mergeCell ref="J48:K48"/>
    <mergeCell ref="G32:J32"/>
    <mergeCell ref="AG33:BA33"/>
    <mergeCell ref="K33:AE33"/>
    <mergeCell ref="G33:J33"/>
    <mergeCell ref="G29:J29"/>
    <mergeCell ref="H79:AB79"/>
    <mergeCell ref="H75:AB75"/>
    <mergeCell ref="AB71:AG71"/>
    <mergeCell ref="D73:G73"/>
    <mergeCell ref="J61:K61"/>
    <mergeCell ref="J60:K60"/>
    <mergeCell ref="F60:H60"/>
    <mergeCell ref="F61:H61"/>
    <mergeCell ref="A71:F71"/>
    <mergeCell ref="G71:J71"/>
    <mergeCell ref="B34:C34"/>
    <mergeCell ref="B33:C33"/>
    <mergeCell ref="K26:AE26"/>
    <mergeCell ref="D28:F28"/>
    <mergeCell ref="AS46:AU46"/>
    <mergeCell ref="BB22:BF22"/>
    <mergeCell ref="BB23:BD23"/>
    <mergeCell ref="BB24:BD24"/>
    <mergeCell ref="BE25:BF25"/>
    <mergeCell ref="BE23:BF23"/>
    <mergeCell ref="BB25:BD25"/>
    <mergeCell ref="G23:J23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D29:F29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B32:BD32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7:AI44"/>
    <mergeCell ref="AM37:AO44"/>
    <mergeCell ref="AJ37:AL44"/>
    <mergeCell ref="AP46:AR46"/>
    <mergeCell ref="AP45:AR45"/>
    <mergeCell ref="AM45:AO45"/>
    <mergeCell ref="AJ45:AL45"/>
    <mergeCell ref="AG45:AI45"/>
    <mergeCell ref="BE31:BF31"/>
    <mergeCell ref="K28:AE28"/>
    <mergeCell ref="BB31:BD31"/>
    <mergeCell ref="AG34:BA34"/>
    <mergeCell ref="AS45:AU45"/>
    <mergeCell ref="AV45:AX45"/>
    <mergeCell ref="AY45:BA45"/>
    <mergeCell ref="AP37:AR44"/>
    <mergeCell ref="AY44:BA44"/>
    <mergeCell ref="L45:AF45"/>
    <mergeCell ref="BM60:BO60"/>
    <mergeCell ref="BJ59:BL59"/>
    <mergeCell ref="BJ58:BL58"/>
    <mergeCell ref="BJ48:BL48"/>
    <mergeCell ref="K34:AE34"/>
    <mergeCell ref="BE26:BF26"/>
    <mergeCell ref="BE27:BF27"/>
    <mergeCell ref="BE28:BF28"/>
    <mergeCell ref="BB27:BD27"/>
    <mergeCell ref="BB26:BD26"/>
    <mergeCell ref="AV60:AX60"/>
    <mergeCell ref="AY58:BA58"/>
    <mergeCell ref="AV58:AX58"/>
    <mergeCell ref="AV59:AX59"/>
    <mergeCell ref="AY60:BA60"/>
    <mergeCell ref="BM48:BO48"/>
    <mergeCell ref="BJ57:BL57"/>
    <mergeCell ref="BJ60:BL60"/>
    <mergeCell ref="BM57:BO57"/>
    <mergeCell ref="BM58:BO58"/>
    <mergeCell ref="BM47:BO47"/>
    <mergeCell ref="BM46:BO46"/>
    <mergeCell ref="AS58:AU58"/>
    <mergeCell ref="AS59:AU59"/>
    <mergeCell ref="BB58:BD58"/>
    <mergeCell ref="BH58:BI58"/>
    <mergeCell ref="BE58:BF58"/>
    <mergeCell ref="BH59:BI59"/>
    <mergeCell ref="BE59:BF59"/>
    <mergeCell ref="AV46:AX46"/>
    <mergeCell ref="BM44:BO44"/>
    <mergeCell ref="BE44:BI44"/>
    <mergeCell ref="BJ44:BL44"/>
    <mergeCell ref="BH45:BI45"/>
    <mergeCell ref="BM45:BO45"/>
    <mergeCell ref="BE45:BF45"/>
    <mergeCell ref="BJ45:BL45"/>
    <mergeCell ref="BJ47:BL47"/>
    <mergeCell ref="BE46:BF46"/>
    <mergeCell ref="BE47:BF47"/>
    <mergeCell ref="BB47:BD47"/>
    <mergeCell ref="BJ46:BL46"/>
    <mergeCell ref="BE57:BI57"/>
    <mergeCell ref="BB48:BD48"/>
    <mergeCell ref="BH48:BI48"/>
    <mergeCell ref="BB45:BD45"/>
    <mergeCell ref="BE48:BF48"/>
    <mergeCell ref="BH47:BI47"/>
    <mergeCell ref="BH46:BI46"/>
    <mergeCell ref="BB46:BD46"/>
    <mergeCell ref="BB57:BD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V47:AX4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B46:E46"/>
    <mergeCell ref="G34:J34"/>
    <mergeCell ref="J45:K45"/>
    <mergeCell ref="G31:J31"/>
    <mergeCell ref="J59:K59"/>
    <mergeCell ref="J47:K47"/>
    <mergeCell ref="J46:K46"/>
    <mergeCell ref="J57:AF57"/>
    <mergeCell ref="L46:AF46"/>
    <mergeCell ref="L59:AF59"/>
    <mergeCell ref="F45:H45"/>
    <mergeCell ref="D30:F30"/>
    <mergeCell ref="D33:F33"/>
    <mergeCell ref="F44:H44"/>
    <mergeCell ref="B44:E44"/>
    <mergeCell ref="B30:C30"/>
    <mergeCell ref="D34:F34"/>
    <mergeCell ref="D31:F31"/>
    <mergeCell ref="B43:H43"/>
    <mergeCell ref="B32:C32"/>
    <mergeCell ref="D78:G79"/>
    <mergeCell ref="B56:H56"/>
    <mergeCell ref="B57:E57"/>
    <mergeCell ref="F47:H47"/>
    <mergeCell ref="F46:H46"/>
    <mergeCell ref="F57:H57"/>
    <mergeCell ref="F48:H48"/>
    <mergeCell ref="B48:E48"/>
    <mergeCell ref="B47:E47"/>
    <mergeCell ref="D74:G75"/>
    <mergeCell ref="H95:AB95"/>
    <mergeCell ref="B64:AT64"/>
    <mergeCell ref="B69:AT69"/>
    <mergeCell ref="D94:G95"/>
    <mergeCell ref="D93:G93"/>
    <mergeCell ref="D90:G91"/>
    <mergeCell ref="H83:AB83"/>
    <mergeCell ref="B81:C81"/>
    <mergeCell ref="D81:G81"/>
    <mergeCell ref="D89:G89"/>
    <mergeCell ref="AY90:BA90"/>
    <mergeCell ref="BB94:BC94"/>
    <mergeCell ref="BB90:BC90"/>
    <mergeCell ref="AY93:BC93"/>
    <mergeCell ref="H89:AX89"/>
    <mergeCell ref="AD86:AX86"/>
    <mergeCell ref="AD90:AX90"/>
    <mergeCell ref="H94:AB94"/>
    <mergeCell ref="AY89:BC89"/>
    <mergeCell ref="AD94:AX94"/>
    <mergeCell ref="AY86:BA86"/>
    <mergeCell ref="BB86:BC86"/>
    <mergeCell ref="AY87:BC87"/>
    <mergeCell ref="AD82:AX82"/>
    <mergeCell ref="B85:C85"/>
    <mergeCell ref="D85:G85"/>
    <mergeCell ref="AY85:BC85"/>
    <mergeCell ref="AY82:BA82"/>
    <mergeCell ref="BB82:BC82"/>
    <mergeCell ref="D86:G87"/>
    <mergeCell ref="AY83:BC83"/>
    <mergeCell ref="B82:C83"/>
    <mergeCell ref="D82:G83"/>
    <mergeCell ref="H85:AX85"/>
    <mergeCell ref="BD82:BG82"/>
    <mergeCell ref="BD81:BG81"/>
    <mergeCell ref="AY81:BC81"/>
    <mergeCell ref="G22:J22"/>
    <mergeCell ref="AY79:BC79"/>
    <mergeCell ref="B65:AT65"/>
    <mergeCell ref="B45:E45"/>
    <mergeCell ref="B61:E61"/>
    <mergeCell ref="B60:E60"/>
    <mergeCell ref="B59:E59"/>
    <mergeCell ref="B58:E58"/>
    <mergeCell ref="AG46:AI46"/>
    <mergeCell ref="AJ48:AL48"/>
    <mergeCell ref="K101:AE101"/>
    <mergeCell ref="K100:AE100"/>
    <mergeCell ref="BD95:BG95"/>
    <mergeCell ref="BD94:BG94"/>
    <mergeCell ref="BD93:BG93"/>
    <mergeCell ref="BD91:BG91"/>
    <mergeCell ref="AY94:BA94"/>
    <mergeCell ref="AY95:BC95"/>
    <mergeCell ref="AY91:BC91"/>
    <mergeCell ref="AD95:AX95"/>
    <mergeCell ref="K107:AE107"/>
    <mergeCell ref="K106:AE106"/>
    <mergeCell ref="K105:AE105"/>
    <mergeCell ref="K104:AE104"/>
    <mergeCell ref="K103:AE103"/>
    <mergeCell ref="K102:AE102"/>
    <mergeCell ref="I103:J103"/>
    <mergeCell ref="I102:J102"/>
    <mergeCell ref="I101:J101"/>
    <mergeCell ref="I100:J100"/>
    <mergeCell ref="I107:J107"/>
    <mergeCell ref="I106:J106"/>
    <mergeCell ref="I105:J105"/>
    <mergeCell ref="I104:J104"/>
    <mergeCell ref="AM48:AO48"/>
    <mergeCell ref="AM47:AO47"/>
    <mergeCell ref="AM46:AO46"/>
    <mergeCell ref="AP48:AR48"/>
    <mergeCell ref="AP47:AR47"/>
    <mergeCell ref="AM59:AO59"/>
    <mergeCell ref="AM58:AO58"/>
    <mergeCell ref="AM50:AO57"/>
    <mergeCell ref="AP50:AR57"/>
    <mergeCell ref="AG61:AI61"/>
    <mergeCell ref="AG60:AI60"/>
    <mergeCell ref="AG59:AI59"/>
    <mergeCell ref="AG58:AI58"/>
    <mergeCell ref="AJ58:AL58"/>
    <mergeCell ref="J58:K58"/>
    <mergeCell ref="AJ47:AL47"/>
    <mergeCell ref="AJ46:AL46"/>
    <mergeCell ref="AG48:AI48"/>
    <mergeCell ref="L58:AF58"/>
    <mergeCell ref="AG47:AI47"/>
    <mergeCell ref="L48:AF48"/>
    <mergeCell ref="L47:AF47"/>
    <mergeCell ref="AJ50:AL57"/>
    <mergeCell ref="AG50:AI57"/>
    <mergeCell ref="BD79:BG79"/>
    <mergeCell ref="BD78:BG78"/>
    <mergeCell ref="BD77:BG77"/>
    <mergeCell ref="BD75:BG75"/>
    <mergeCell ref="BD90:BG90"/>
    <mergeCell ref="BD89:BG89"/>
    <mergeCell ref="BD87:BG87"/>
    <mergeCell ref="BD86:BG86"/>
    <mergeCell ref="BD85:BG85"/>
    <mergeCell ref="BD83:BG83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AB10:AG10"/>
    <mergeCell ref="AH10:AL10"/>
    <mergeCell ref="AM10:AU10"/>
    <mergeCell ref="AV10:AZ10"/>
    <mergeCell ref="A10:F10"/>
    <mergeCell ref="G10:J10"/>
    <mergeCell ref="T10:U10"/>
    <mergeCell ref="W10:AA10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1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99.75">
      <c r="B4" s="43"/>
      <c r="C4" s="151"/>
      <c r="D4" s="151"/>
      <c r="E4" s="151"/>
      <c r="F4" s="151"/>
      <c r="G4" s="43" t="s">
        <v>54</v>
      </c>
      <c r="H4" s="43" t="s">
        <v>14</v>
      </c>
      <c r="I4" s="151" t="s">
        <v>55</v>
      </c>
      <c r="J4" s="151" t="s">
        <v>56</v>
      </c>
      <c r="K4" s="43"/>
      <c r="L4" s="151" t="s">
        <v>57</v>
      </c>
      <c r="M4" s="43" t="s">
        <v>74</v>
      </c>
      <c r="N4" s="153" t="s">
        <v>21</v>
      </c>
      <c r="O4" s="43" t="s">
        <v>22</v>
      </c>
      <c r="Q4" s="162" t="s">
        <v>23</v>
      </c>
      <c r="R4" s="163" t="str">
        <f>Q5</f>
        <v>VfR 08 Oberhausen 1</v>
      </c>
      <c r="S4" s="163" t="str">
        <f>Q6</f>
        <v>FC Tannenhof 2</v>
      </c>
      <c r="T4" s="163" t="str">
        <f>Q7</f>
        <v>GW Vernum 2</v>
      </c>
      <c r="U4" s="163" t="str">
        <f>Q8</f>
        <v>SC Auwel-Holt</v>
      </c>
      <c r="V4" s="164"/>
      <c r="W4" s="162" t="s">
        <v>55</v>
      </c>
      <c r="X4" s="163" t="str">
        <f>W5</f>
        <v>VfR 08 Oberhausen 1</v>
      </c>
      <c r="Y4" s="163" t="str">
        <f>W6</f>
        <v>FC Tannenhof 2</v>
      </c>
      <c r="Z4" s="163" t="str">
        <f>W7</f>
        <v>GW Vernum 2</v>
      </c>
      <c r="AA4" s="163" t="str">
        <f>W8</f>
        <v>SC Auwel-Holt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>
        <f>MATCH(1,AD5:AD8,0)</f>
        <v>1</v>
      </c>
      <c r="AL4" s="169"/>
      <c r="AM4" s="170"/>
      <c r="AN4" s="170"/>
      <c r="AO4" s="170"/>
      <c r="AP4" s="167"/>
      <c r="AQ4" s="171">
        <f ca="1">MATCH(1,OFFSET($AD$5:$AD$8,AK4,0),0)+AK4</f>
        <v>2</v>
      </c>
      <c r="AR4" s="170"/>
      <c r="AS4" s="170"/>
      <c r="AT4" s="170"/>
      <c r="AU4" s="170"/>
      <c r="AV4" s="171">
        <f ca="1">MATCH(1,OFFSET($AD$5:$AD$8,AQ4,0),0)+AQ4</f>
        <v>3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3</v>
      </c>
      <c r="D5" s="151">
        <f>E5+ROW()/1000</f>
        <v>3.005</v>
      </c>
      <c r="E5" s="151">
        <f>RANK(K5,$K$5:$K$8)</f>
        <v>3</v>
      </c>
      <c r="F5" s="43" t="str">
        <f>VLOOKUP(B5,Ergebniseingabe!$C$19:$X$22,2,0)</f>
        <v>VfR 08 Oberhausen 1</v>
      </c>
      <c r="G5" s="39">
        <f>SUMPRODUCT((F5=Ergebniseingabe!$L$27:$AF$38)*(Ergebniseingabe!$BC$27:$BC$38))+SUMPRODUCT((F5=Ergebniseingabe!$AH$27:$BB$38)*(Ergebniseingabe!$BF$27:$BF$38))</f>
        <v>2</v>
      </c>
      <c r="H5" s="39">
        <f>SUMPRODUCT((F5=Ergebniseingabe!$L$27:$AF$38)*(Ergebniseingabe!$BF$27:$BF$38))+SUMPRODUCT((F5=Ergebniseingabe!$AH$27:$BB$38)*(Ergebniseingabe!$BC$27:$BC$38))</f>
        <v>2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3</v>
      </c>
      <c r="J5" s="40">
        <f>G5-H5</f>
        <v>0</v>
      </c>
      <c r="K5" s="190">
        <f>AC5+AI5+AO5</f>
        <v>300002</v>
      </c>
      <c r="L5" s="39">
        <f>SUMPRODUCT((Ergebniseingabe!$L$27:$AF$38=F5)*(Ergebniseingabe!$BC$27:$BC$38&lt;&gt;""))+SUMPRODUCT((Ergebniseingabe!$AH$27:$BB$38=F5)*(Ergebniseingabe!$BF$27:$BF$38&lt;&gt;""))</f>
        <v>3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3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VfR 08 Oberhausen 1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1</v>
      </c>
      <c r="U5" s="174">
        <f>IF(AND(Q5&amp;$U$4=VLOOKUP(Q5&amp;$U$4,$D$23:$I$46,1,0),VLOOKUP(Q5&amp;$U$4,$D$23:$I$46,6,0)&lt;&gt;""),VLOOKUP(Q5&amp;$U$4,$D$23:$I$46,6,0),)</f>
        <v>1</v>
      </c>
      <c r="V5" s="164"/>
      <c r="W5" s="172" t="str">
        <f>Q5</f>
        <v>VfR 08 Oberhausen 1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300002</v>
      </c>
      <c r="AD5" s="175">
        <f>COUNTIF(AC5:AC8,AC5)</f>
        <v>1</v>
      </c>
      <c r="AE5" s="175" t="str">
        <f>IF(AD5=1,"x","")</f>
        <v>x</v>
      </c>
      <c r="AF5" s="164"/>
      <c r="AG5" s="176">
        <f>IF(AE5="x",1,IF(AC6=AC5,2,IF(AC7=AC5,3,4)))</f>
        <v>1</v>
      </c>
      <c r="AH5" s="168">
        <f>INDEX(X5:AA5,1,AG5)</f>
        <v>0</v>
      </c>
      <c r="AI5" s="177">
        <f>IF(OR($AD$9=2,$AD$9=4),AH5/10,0)</f>
        <v>0</v>
      </c>
      <c r="AJ5" s="167"/>
      <c r="AK5" s="178"/>
      <c r="AL5" s="168">
        <f>I5-INDEX(X5:AA5,1,$AK$4)-AR5-AW5</f>
        <v>1</v>
      </c>
      <c r="AM5" s="168">
        <f>J5-INDEX(R5:U5,1,AK4)-INDEX(R5:R8,AK4,1)-ABS(AS5)-ABS(AX5)</f>
        <v>0</v>
      </c>
      <c r="AN5" s="168">
        <f>G5-INDEX(R5:U5,1,$AK$4)-AT5-AY5</f>
        <v>1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1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1</v>
      </c>
      <c r="AX5" s="168">
        <f>IF(ISNA($AV$4),0,(INDEX(R5:U5,1,AV4)-INDEX(R5:R8,AV4,1)))</f>
        <v>0</v>
      </c>
      <c r="AY5" s="168">
        <f>IF(ISNA($AV$4),0,INDEX(R5:U5,1,$AV$4))</f>
        <v>1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4</v>
      </c>
      <c r="D6" s="151">
        <f>E6+ROW()/1000</f>
        <v>4.006</v>
      </c>
      <c r="E6" s="151">
        <f>RANK(K6,$K$5:$K$8)</f>
        <v>4</v>
      </c>
      <c r="F6" s="43" t="str">
        <f>VLOOKUP(B6,Ergebniseingabe!$C$19:$X$22,2,0)</f>
        <v>FC Tannenhof 2</v>
      </c>
      <c r="G6" s="39">
        <f>SUMPRODUCT((F6=Ergebniseingabe!$L$27:$AF$38)*(Ergebniseingabe!$BC$27:$BC$38))+SUMPRODUCT((F6=Ergebniseingabe!$AH$27:$BB$38)*(Ergebniseingabe!$BF$27:$BF$38))</f>
        <v>1</v>
      </c>
      <c r="H6" s="39">
        <f>SUMPRODUCT((F6=Ergebniseingabe!$L$27:$AF$38)*(Ergebniseingabe!$BF$27:$BF$38))+SUMPRODUCT((F6=Ergebniseingabe!$AH$27:$BB$38)*(Ergebniseingabe!$BC$27:$BC$38))</f>
        <v>5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1</v>
      </c>
      <c r="J6" s="40">
        <f>G6-H6</f>
        <v>-4</v>
      </c>
      <c r="K6" s="190">
        <f>AC6+AI6+AO6</f>
        <v>96001</v>
      </c>
      <c r="L6" s="39">
        <f>SUMPRODUCT((Ergebniseingabe!$L$27:$AF$38=F6)*(Ergebniseingabe!$BC$27:$BC$38&lt;&gt;""))+SUMPRODUCT((Ergebniseingabe!$AH$27:$BB$38=F6)*(Ergebniseingabe!$BF$27:$BF$38&lt;&gt;""))</f>
        <v>3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1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2</v>
      </c>
      <c r="Q6" s="172" t="str">
        <f>$F$6</f>
        <v>FC Tannenhof 2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FC Tannenhof 2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0</v>
      </c>
      <c r="AB6" s="164"/>
      <c r="AC6" s="175">
        <f>I6*100000+J6*1000+G6</f>
        <v>96001</v>
      </c>
      <c r="AD6" s="182">
        <f>COUNTIF(AC5:AC8,AC6)</f>
        <v>1</v>
      </c>
      <c r="AE6" s="182" t="str">
        <f>IF(AD6=1,"x","")</f>
        <v>x</v>
      </c>
      <c r="AF6" s="164"/>
      <c r="AG6" s="176">
        <f>IF(AE6="x",2,IF(AC7=AC6,3,IF(AC8=AC6,4,1)))</f>
        <v>2</v>
      </c>
      <c r="AH6" s="168">
        <f>INDEX(X6:AA6,1,AG6)</f>
        <v>0</v>
      </c>
      <c r="AI6" s="177">
        <f>IF(OR($AD$9=2,$AD$9=4),AH6/10,0)</f>
        <v>0</v>
      </c>
      <c r="AJ6" s="167"/>
      <c r="AK6" s="178"/>
      <c r="AL6" s="168">
        <f>I6-INDEX(X6:AA6,1,$AK$4)-AR6-AW6</f>
        <v>-1</v>
      </c>
      <c r="AM6" s="168">
        <f>J6-INDEX(R6:U6,1,AK4)-INDEX(S5:S8,AK4,1)-ABS(AS6)-ABS(AX6)</f>
        <v>-4</v>
      </c>
      <c r="AN6" s="168">
        <f>G6-INDEX(R6:U6,1,$AK$4)-AT6-AY6</f>
        <v>1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1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1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GW Vernum 2</v>
      </c>
      <c r="G7" s="39">
        <f>SUMPRODUCT((F7=Ergebniseingabe!$L$27:$AF$38)*(Ergebniseingabe!$BC$27:$BC$38))+SUMPRODUCT((F7=Ergebniseingabe!$AH$27:$BB$38)*(Ergebniseingabe!$BF$27:$BF$38))</f>
        <v>4</v>
      </c>
      <c r="H7" s="39">
        <f>SUMPRODUCT((F7=Ergebniseingabe!$L$27:$AF$38)*(Ergebniseingabe!$BF$27:$BF$38))+SUMPRODUCT((F7=Ergebniseingabe!$AH$27:$BB$38)*(Ergebniseingabe!$BC$27:$BC$38))</f>
        <v>2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7</v>
      </c>
      <c r="J7" s="40">
        <f>G7-H7</f>
        <v>2</v>
      </c>
      <c r="K7" s="190">
        <f>AC7+AI7+AO7</f>
        <v>702004</v>
      </c>
      <c r="L7" s="39">
        <f>SUMPRODUCT((Ergebniseingabe!$L$27:$AF$38=F7)*(Ergebniseingabe!$BC$27:$BC$38&lt;&gt;""))+SUMPRODUCT((Ergebniseingabe!$AH$27:$BB$38=F7)*(Ergebniseingabe!$BF$27:$BF$38&lt;&gt;""))</f>
        <v>3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2</v>
      </c>
      <c r="N7" s="39">
        <f>SUMPRODUCT((Ergebniseingabe!$L$27:$BB$38=F7)*(Ergebniseingabe!$BC$27:$BC$38=Ergebniseingabe!$BF$27:$BF$38)*(Ergebniseingabe!$BC$27:$BC$38&lt;&gt;"")*(Ergebniseingabe!$BF$27:$BF$38&lt;&gt;""))</f>
        <v>1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GW Vernum 2</v>
      </c>
      <c r="R7" s="174">
        <f>IF(AND(Q7&amp;$R$4=VLOOKUP(Q7&amp;$R$4,$D$23:$I$46,1,0),VLOOKUP(Q7&amp;$R$4,$D$23:$I$46,6,0)&lt;&gt;""),VLOOKUP(Q7&amp;$R$4,$D$23:$I$46,6,0),)</f>
        <v>1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1</v>
      </c>
      <c r="V7" s="164"/>
      <c r="W7" s="181" t="str">
        <f>Q7</f>
        <v>GW Vernum 2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3</v>
      </c>
      <c r="AB7" s="164"/>
      <c r="AC7" s="175">
        <f>I7*100000+J7*1000+G7</f>
        <v>702004</v>
      </c>
      <c r="AD7" s="183">
        <f>COUNTIF(AC5:AC8,AC7)</f>
        <v>1</v>
      </c>
      <c r="AE7" s="182" t="str">
        <f>IF(AD7=1,"x","")</f>
        <v>x</v>
      </c>
      <c r="AF7" s="164"/>
      <c r="AG7" s="176">
        <f>IF(AE7="x",3,IF(AC8=AC7,4,IF(AC6=AC7,2,1)))</f>
        <v>3</v>
      </c>
      <c r="AH7" s="168">
        <f>INDEX(X7:AA7,1,AG7)</f>
        <v>0</v>
      </c>
      <c r="AI7" s="177">
        <f>IF(OR($AD$9=2,$AD$9=4),AH7/10,0)</f>
        <v>0</v>
      </c>
      <c r="AJ7" s="167"/>
      <c r="AK7" s="178"/>
      <c r="AL7" s="168">
        <f>I7-INDEX(X7:AA7,1,$AK$4)-AR7-AW7</f>
        <v>5</v>
      </c>
      <c r="AM7" s="168">
        <f>J7-INDEX(R7:U7,1,AK4)-INDEX(T5:T8,AK4,1)-ABS(AS7)-ABS(AX7)</f>
        <v>0</v>
      </c>
      <c r="AN7" s="168">
        <f>G7-INDEX(R7:U7,1,$AK$4)-AT7-AY7</f>
        <v>3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1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2</v>
      </c>
      <c r="D8" s="151">
        <f>E8+ROW()/1000</f>
        <v>2.008</v>
      </c>
      <c r="E8" s="151">
        <f>RANK(K8,$K$5:$K$8)</f>
        <v>2</v>
      </c>
      <c r="F8" s="43" t="str">
        <f>VLOOKUP(B8,Ergebniseingabe!$C$19:$X$22,2,0)</f>
        <v>SC Auwel-Holt</v>
      </c>
      <c r="G8" s="39">
        <f>SUMPRODUCT((F8=Ergebniseingabe!$L$27:$AF$38)*(Ergebniseingabe!$BC$27:$BC$38))+SUMPRODUCT((F8=Ergebniseingabe!$AH$27:$BB$38)*(Ergebniseingabe!$BF$27:$BF$38))</f>
        <v>4</v>
      </c>
      <c r="H8" s="39">
        <f>SUMPRODUCT((F8=Ergebniseingabe!$L$27:$AF$38)*(Ergebniseingabe!$BF$27:$BF$38))+SUMPRODUCT((F8=Ergebniseingabe!$AH$27:$BB$38)*(Ergebniseingabe!$BC$27:$BC$38))</f>
        <v>2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4</v>
      </c>
      <c r="J8" s="40">
        <f>G8-H8</f>
        <v>2</v>
      </c>
      <c r="K8" s="190">
        <f>AC8+AI8+AO8</f>
        <v>402004</v>
      </c>
      <c r="L8" s="39">
        <f>SUMPRODUCT((Ergebniseingabe!$L$27:$AF$38=F8)*(Ergebniseingabe!$BC$27:$BC$38&lt;&gt;""))+SUMPRODUCT((Ergebniseingabe!$AH$27:$BB$38=F8)*(Ergebniseingabe!$BF$27:$BF$38&lt;&gt;""))</f>
        <v>3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1</v>
      </c>
      <c r="N8" s="39">
        <f>SUMPRODUCT((Ergebniseingabe!$L$27:$BB$38=F8)*(Ergebniseingabe!$BC$27:$BC$38=Ergebniseingabe!$BF$27:$BF$38)*(Ergebniseingabe!$BC$27:$BC$38&lt;&gt;"")*(Ergebniseingabe!$BF$27:$BF$38&lt;&gt;""))</f>
        <v>1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1</v>
      </c>
      <c r="Q8" s="184" t="str">
        <f>$F$8</f>
        <v>SC Auwel-Holt</v>
      </c>
      <c r="R8" s="174">
        <f>IF(AND(Q8&amp;$R$4=VLOOKUP(Q8&amp;$R$4,$D$23:$I$46,1,0),VLOOKUP(Q8&amp;$R$4,$D$23:$I$46,6,0)&lt;&gt;""),VLOOKUP(Q8&amp;$R$4,$D$23:$I$46,6,0),)</f>
        <v>1</v>
      </c>
      <c r="S8" s="174">
        <f>IF(AND(Q8&amp;$S$4=VLOOKUP(Q8&amp;$S$4,$D$23:$I$46,1,0),VLOOKUP(Q8&amp;$S$4,$D$23:$I$46,6,0)&lt;&gt;""),VLOOKUP(Q8&amp;$S$4,$D$23:$I$46,6,0),)</f>
        <v>3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SC Auwel-Holt</v>
      </c>
      <c r="X8" s="174">
        <f>IF(AND(ISNUMBER(R8),ISNUMBER(U5)),IF(R8&gt;U5,3,IF(R8=U5,1,0)),0)</f>
        <v>1</v>
      </c>
      <c r="Y8" s="174">
        <f>IF(AND(ISNUMBER(S8),ISNUMBER(U6)),IF(S8&gt;U6,3,IF(S8=U6,1,0)),0)</f>
        <v>3</v>
      </c>
      <c r="Z8" s="174">
        <f>IF(AND(ISNUMBER(T8),ISNUMBER(U7)),IF(T8&gt;U7,3,IF(T8=U7,1,0)),0)</f>
        <v>0</v>
      </c>
      <c r="AA8" s="173"/>
      <c r="AB8" s="164"/>
      <c r="AC8" s="175">
        <f>I8*100000+J8*1000+G8</f>
        <v>402004</v>
      </c>
      <c r="AD8" s="186">
        <f>COUNTIF(AC5:AC8,AC8)</f>
        <v>1</v>
      </c>
      <c r="AE8" s="186" t="str">
        <f>IF(AD8=1,"x","")</f>
        <v>x</v>
      </c>
      <c r="AF8" s="164"/>
      <c r="AG8" s="176">
        <f>IF(AE8="x",4,IF(AC5=AC8,1,IF(AC6=AC8,2,3)))</f>
        <v>4</v>
      </c>
      <c r="AH8" s="168">
        <f>INDEX(X8:AA8,1,AG8)</f>
        <v>0</v>
      </c>
      <c r="AI8" s="177">
        <f>IF(OR($AD$9=2,$AD$9=4),AH8/10,0)</f>
        <v>0</v>
      </c>
      <c r="AJ8" s="167"/>
      <c r="AK8" s="166"/>
      <c r="AL8" s="168">
        <f>I8-INDEX(X8:AA8,1,$AK$4)-AR8-AW8</f>
        <v>0</v>
      </c>
      <c r="AM8" s="168">
        <f>J8-INDEX(R8:U8,1,AK4)-INDEX(U5:U8,AK4,1)-ABS(AS8)-ABS(AX8)</f>
        <v>-4</v>
      </c>
      <c r="AN8" s="168">
        <f>G8-INDEX(R8:U8,1,$AK$4)-AT8-AY8</f>
        <v>0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3</v>
      </c>
      <c r="AS8" s="168">
        <f>IF(ISNA($AQ$4),0,(INDEX(R8:U8,1,AQ4)-INDEX(U5:U8,AQ4,1)))</f>
        <v>3</v>
      </c>
      <c r="AT8" s="168">
        <f>IF(ISNA($AQ$4),0,INDEX(R8:U8,1,$AQ$4))</f>
        <v>3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-1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1</v>
      </c>
      <c r="F9" s="43"/>
      <c r="G9" s="152"/>
      <c r="H9" s="152"/>
      <c r="I9" s="152"/>
      <c r="J9" s="152"/>
      <c r="K9" s="43"/>
      <c r="L9" s="152">
        <f>SUM(L5:L8)</f>
        <v>12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75</v>
      </c>
      <c r="AD9" s="188">
        <f>MOD(MIN(AD5:AD8)*MAX(AD5:AD8),11)</f>
        <v>1</v>
      </c>
      <c r="AE9" s="170"/>
      <c r="AF9" s="164"/>
      <c r="AG9" s="178"/>
      <c r="AH9" s="166"/>
      <c r="AI9" s="166"/>
      <c r="AJ9" s="167"/>
      <c r="AK9" s="178"/>
      <c r="AL9" s="189" t="s">
        <v>55</v>
      </c>
      <c r="AM9" s="189" t="s">
        <v>56</v>
      </c>
      <c r="AN9" s="189" t="s">
        <v>76</v>
      </c>
      <c r="AO9" s="170"/>
      <c r="AP9" s="167"/>
      <c r="AQ9" s="170"/>
      <c r="AR9" s="189" t="s">
        <v>55</v>
      </c>
      <c r="AS9" s="189" t="s">
        <v>56</v>
      </c>
      <c r="AT9" s="189" t="s">
        <v>76</v>
      </c>
      <c r="AU9" s="170"/>
      <c r="AV9" s="170"/>
      <c r="AW9" s="189" t="s">
        <v>55</v>
      </c>
      <c r="AX9" s="189" t="s">
        <v>56</v>
      </c>
      <c r="AY9" s="189" t="s">
        <v>76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1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1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1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23</v>
      </c>
      <c r="R13" s="163" t="str">
        <f>Q14</f>
        <v>GW Vernum 3</v>
      </c>
      <c r="S13" s="163" t="str">
        <f>Q15</f>
        <v>GW Vernum 1</v>
      </c>
      <c r="T13" s="163" t="str">
        <f>Q16</f>
        <v>FC Tannenhof 1</v>
      </c>
      <c r="U13" s="163" t="str">
        <f>Q17</f>
        <v>VfR 08 Oberhausen 2</v>
      </c>
      <c r="V13" s="164"/>
      <c r="W13" s="162" t="s">
        <v>55</v>
      </c>
      <c r="X13" s="163" t="str">
        <f>W14</f>
        <v>GW Vernum 3</v>
      </c>
      <c r="Y13" s="163" t="str">
        <f>W15</f>
        <v>GW Vernum 1</v>
      </c>
      <c r="Z13" s="163" t="str">
        <f>W16</f>
        <v>FC Tannenhof 1</v>
      </c>
      <c r="AA13" s="163" t="str">
        <f>W17</f>
        <v>VfR 08 Oberhausen 2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>
        <f>MATCH(1,AD14:AD17,0)</f>
        <v>1</v>
      </c>
      <c r="AL13" s="169"/>
      <c r="AM13" s="170"/>
      <c r="AN13" s="170"/>
      <c r="AO13" s="170"/>
      <c r="AP13" s="167"/>
      <c r="AQ13" s="171">
        <f ca="1">MATCH(1,OFFSET($AD$14:$AD$17,AK13,0),0)+AK13</f>
        <v>2</v>
      </c>
      <c r="AR13" s="170"/>
      <c r="AS13" s="170"/>
      <c r="AT13" s="170"/>
      <c r="AU13" s="170"/>
      <c r="AV13" s="171">
        <f ca="1">MATCH(1,OFFSET($AD$14:$AD$17,AQ13,0),0)+AQ13</f>
        <v>3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3</v>
      </c>
      <c r="D14" s="151">
        <f>E14+ROW()/1000</f>
        <v>3.014</v>
      </c>
      <c r="E14" s="151">
        <f>RANK(K14,$K$14:$K$17)</f>
        <v>3</v>
      </c>
      <c r="F14" s="43" t="str">
        <f>VLOOKUP(B14,Ergebniseingabe!$AB$19:$AW$22,2,0)</f>
        <v>GW Vernum 3</v>
      </c>
      <c r="G14" s="39">
        <f>SUMPRODUCT((F14=Ergebniseingabe!$L$27:$AF$38)*(Ergebniseingabe!$BC$27:$BC$38))+SUMPRODUCT((F14=Ergebniseingabe!$AH$27:$BB$38)*(Ergebniseingabe!$BF$27:$BF$38))</f>
        <v>3</v>
      </c>
      <c r="H14" s="39">
        <f>SUMPRODUCT((F14=Ergebniseingabe!$L$27:$AF$38)*(Ergebniseingabe!$BF$27:$BF$38))+SUMPRODUCT((F14=Ergebniseingabe!$AH$27:$BB$38)*(Ergebniseingabe!$BC$27:$BC$38))</f>
        <v>5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3</v>
      </c>
      <c r="J14" s="40">
        <f>G14-H14</f>
        <v>-2</v>
      </c>
      <c r="K14" s="190">
        <f>AC14+AI14+AO14</f>
        <v>298003</v>
      </c>
      <c r="L14" s="39">
        <f>SUMPRODUCT((Ergebniseingabe!$L$27:$AF$38=F14)*(Ergebniseingabe!$BC$27:$BC$38&lt;&gt;""))+SUMPRODUCT((Ergebniseingabe!$AH$27:$BB$38=F14)*(Ergebniseingabe!$BF$27:$BF$38&lt;&gt;""))</f>
        <v>3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1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2</v>
      </c>
      <c r="Q14" s="172" t="str">
        <f>F14</f>
        <v>GW Vernum 3</v>
      </c>
      <c r="R14" s="173"/>
      <c r="S14" s="174">
        <f>IF(AND(Q14&amp;$S$13=VLOOKUP(Q14&amp;$S$13,$D$23:$I$46,1,0),VLOOKUP(Q14&amp;$S$13,$D$23:$I$46,6,0)&lt;&gt;""),VLOOKUP(Q14&amp;$S$13,$D$23:$I$46,6,0),)</f>
        <v>1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2</v>
      </c>
      <c r="V14" s="164"/>
      <c r="W14" s="172" t="str">
        <f>Q14</f>
        <v>GW Vernum 3</v>
      </c>
      <c r="X14" s="173"/>
      <c r="Y14" s="174">
        <f>IF(AND(ISNUMBER(S14),ISNUMBER(R15)),IF(S14&gt;R15,3,IF(S14=R15,1,0)),0)</f>
        <v>0</v>
      </c>
      <c r="Z14" s="174">
        <f>IF(AND(ISNUMBER(T14),ISNUMBER(R16)),IF(T14&gt;R16,3,IF(T14=R16,1,0)),0)</f>
        <v>0</v>
      </c>
      <c r="AA14" s="174">
        <f>IF(AND(ISNUMBER(U14),ISNUMBER(R17)),IF(U14&gt;R17,3,IF(U14=R17,1,0)),0)</f>
        <v>3</v>
      </c>
      <c r="AB14" s="164"/>
      <c r="AC14" s="175">
        <f>I14*100000+J14*1000+G14</f>
        <v>298003</v>
      </c>
      <c r="AD14" s="175">
        <f>COUNTIF(AC14:AC17,AC14)</f>
        <v>1</v>
      </c>
      <c r="AE14" s="175" t="str">
        <f>IF(AD14=1,"x","")</f>
        <v>x</v>
      </c>
      <c r="AF14" s="164"/>
      <c r="AG14" s="176">
        <f>IF(AE14="x",1,IF(AC15=AC14,2,IF(AC16=AC14,3,4)))</f>
        <v>1</v>
      </c>
      <c r="AH14" s="168">
        <f>INDEX(X14:AA14,1,AG14)</f>
        <v>0</v>
      </c>
      <c r="AI14" s="177">
        <f>IF(OR($AD$18=2,$AD$18=4),AH14/10,0)</f>
        <v>0</v>
      </c>
      <c r="AJ14" s="167"/>
      <c r="AK14" s="178"/>
      <c r="AL14" s="168">
        <f>I14-INDEX(X14:AA14,1,$AK$13)-AR14-AW14</f>
        <v>3</v>
      </c>
      <c r="AM14" s="168">
        <f>J14-INDEX(R14:U14,1,AK13)-INDEX(R14:R17,AK13,1)-ABS(AS14)-ABS(AX14)</f>
        <v>-5</v>
      </c>
      <c r="AN14" s="168">
        <f>G14-INDEX(R14:U14,1,$AK$13)-AT14-AY14</f>
        <v>2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-1</v>
      </c>
      <c r="AT14" s="168">
        <f>IF(ISNA($AQ$13),0,INDEX(R14:U14,1,$AQ$13))</f>
        <v>1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-2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1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GW Vernum 1</v>
      </c>
      <c r="G15" s="39">
        <f>SUMPRODUCT((F15=Ergebniseingabe!$L$27:$AF$38)*(Ergebniseingabe!$BC$27:$BC$38))+SUMPRODUCT((F15=Ergebniseingabe!$AH$27:$BB$38)*(Ergebniseingabe!$BF$27:$BF$38))</f>
        <v>4</v>
      </c>
      <c r="H15" s="39">
        <f>SUMPRODUCT((F15=Ergebniseingabe!$L$27:$AF$38)*(Ergebniseingabe!$BF$27:$BF$38))+SUMPRODUCT((F15=Ergebniseingabe!$AH$27:$BB$38)*(Ergebniseingabe!$BC$27:$BC$38))</f>
        <v>2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7</v>
      </c>
      <c r="J15" s="40">
        <f>G15-H15</f>
        <v>2</v>
      </c>
      <c r="K15" s="190">
        <f>AC15+AI15+AO15</f>
        <v>702004</v>
      </c>
      <c r="L15" s="39">
        <f>SUMPRODUCT((Ergebniseingabe!$L$27:$AF$38=F15)*(Ergebniseingabe!$BC$27:$BC$38&lt;&gt;""))+SUMPRODUCT((Ergebniseingabe!$AH$27:$BB$38=F15)*(Ergebniseingabe!$BF$27:$BF$38&lt;&gt;""))</f>
        <v>3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2</v>
      </c>
      <c r="N15" s="39">
        <f>SUMPRODUCT((Ergebniseingabe!$L$27:$BB$38=F15)*(Ergebniseingabe!$BC$27:$BC$38=Ergebniseingabe!$BF$27:$BF$38)*(Ergebniseingabe!$BC$27:$BC$38&lt;&gt;"")*(Ergebniseingabe!$BF$27:$BF$38&lt;&gt;""))</f>
        <v>1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GW Vernum 1</v>
      </c>
      <c r="R15" s="174">
        <f>IF(AND(Q15&amp;$R$13=VLOOKUP(Q15&amp;$R$13,$D$23:$I$46,1,0),VLOOKUP(Q15&amp;$R$13,$D$23:$I$46,6,0)&lt;&gt;""),VLOOKUP(Q15&amp;$R$13,$D$23:$I$46,6,0),)</f>
        <v>2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GW Vernum 1</v>
      </c>
      <c r="X15" s="174">
        <f>IF(AND(ISNUMBER(R15),ISNUMBER(S14)),IF(R15&gt;S14,3,IF(R15=S14,1,0)),0)</f>
        <v>3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702004</v>
      </c>
      <c r="AD15" s="182">
        <f>COUNTIF(AC14:AC17,AC15)</f>
        <v>1</v>
      </c>
      <c r="AE15" s="182" t="str">
        <f>IF(AD15=1,"x","")</f>
        <v>x</v>
      </c>
      <c r="AF15" s="164"/>
      <c r="AG15" s="176">
        <f>IF(AE15="x",2,IF(AC16=AC15,3,IF(AC17=AC15,4,1)))</f>
        <v>2</v>
      </c>
      <c r="AH15" s="168">
        <f>INDEX(X15:AA15,1,AG15)</f>
        <v>0</v>
      </c>
      <c r="AI15" s="177">
        <f>IF(OR($AD$18=2,$AD$18=4),AH15/10,0)</f>
        <v>0</v>
      </c>
      <c r="AJ15" s="167"/>
      <c r="AK15" s="178"/>
      <c r="AL15" s="168">
        <f>I15-INDEX(X15:AA15,1,$AK$13)-AR15-AW15</f>
        <v>3</v>
      </c>
      <c r="AM15" s="168">
        <f>J15-INDEX(R15:U15,1,AK13)-INDEX(S14:S17,AK13,1)-ABS(AS15)-ABS(AX15)</f>
        <v>-1</v>
      </c>
      <c r="AN15" s="168">
        <f>G15-INDEX(R15:U15,1,$AK$13)-AT15-AY15</f>
        <v>2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1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2</v>
      </c>
      <c r="D16" s="151">
        <f>E16+ROW()/1000</f>
        <v>2.016</v>
      </c>
      <c r="E16" s="151">
        <f>RANK(K16,$K$14:$K$17)</f>
        <v>2</v>
      </c>
      <c r="F16" s="43" t="str">
        <f>VLOOKUP(B16,Ergebniseingabe!$AB$19:$AW$22,2,0)</f>
        <v>FC Tannenhof 1</v>
      </c>
      <c r="G16" s="39">
        <f>SUMPRODUCT((F16=Ergebniseingabe!$L$27:$AF$38)*(Ergebniseingabe!$BC$27:$BC$38))+SUMPRODUCT((F16=Ergebniseingabe!$AH$27:$BB$38)*(Ergebniseingabe!$BF$27:$BF$38))</f>
        <v>3</v>
      </c>
      <c r="H16" s="39">
        <f>SUMPRODUCT((F16=Ergebniseingabe!$L$27:$AF$38)*(Ergebniseingabe!$BF$27:$BF$38))+SUMPRODUCT((F16=Ergebniseingabe!$AH$27:$BB$38)*(Ergebniseingabe!$BC$27:$BC$38))</f>
        <v>2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4</v>
      </c>
      <c r="J16" s="40">
        <f>G16-H16</f>
        <v>1</v>
      </c>
      <c r="K16" s="190">
        <f>AC16+AI16+AO16</f>
        <v>401003</v>
      </c>
      <c r="L16" s="39">
        <f>SUMPRODUCT((Ergebniseingabe!$L$27:$AF$38=F16)*(Ergebniseingabe!$BC$27:$BC$38&lt;&gt;""))+SUMPRODUCT((Ergebniseingabe!$AH$27:$BB$38=F16)*(Ergebniseingabe!$BF$27:$BF$38&lt;&gt;""))</f>
        <v>3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1</v>
      </c>
      <c r="N16" s="39">
        <f>SUMPRODUCT((Ergebniseingabe!$L$27:$BB$38=F16)*(Ergebniseingabe!$BC$27:$BC$38=Ergebniseingabe!$BF$27:$BF$38)*(Ergebniseingabe!$BC$27:$BC$38&lt;&gt;"")*(Ergebniseingabe!$BF$27:$BF$38&lt;&gt;""))</f>
        <v>1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72" t="str">
        <f>F16</f>
        <v>FC Tannenhof 1</v>
      </c>
      <c r="R16" s="174">
        <f>IF(AND(Q16&amp;$R$13=VLOOKUP(Q16&amp;$R$13,$D$23:$I$46,1,0),VLOOKUP(Q16&amp;$R$13,$D$23:$I$46,6,0)&lt;&gt;""),VLOOKUP(Q16&amp;$R$13,$D$23:$I$46,6,0),)</f>
        <v>2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FC Tannenhof 1</v>
      </c>
      <c r="X16" s="174">
        <f>IF(AND(ISNUMBER(R16),ISNUMBER(T14)),IF(R16&gt;T14,3,IF(R16=T14,1,0)),0)</f>
        <v>3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401003</v>
      </c>
      <c r="AD16" s="183">
        <f>COUNTIF(AC14:AC17,AC16)</f>
        <v>1</v>
      </c>
      <c r="AE16" s="182" t="str">
        <f>IF(AD16=1,"x","")</f>
        <v>x</v>
      </c>
      <c r="AF16" s="164"/>
      <c r="AG16" s="176">
        <f>IF(AE16="x",3,IF(AC17=AC16,4,IF(AC15=AC16,2,1)))</f>
        <v>3</v>
      </c>
      <c r="AH16" s="168">
        <f>INDEX(X16:AA16,1,AG16)</f>
        <v>0</v>
      </c>
      <c r="AI16" s="177">
        <f>IF(OR($AD$18=2,$AD$18=4),AH16/10,0)</f>
        <v>0</v>
      </c>
      <c r="AJ16" s="167"/>
      <c r="AK16" s="178"/>
      <c r="AL16" s="168">
        <f>I16-INDEX(X16:AA16,1,$AK$13)-AR16-AW16</f>
        <v>0</v>
      </c>
      <c r="AM16" s="168">
        <f>J16-INDEX(R16:U16,1,AK13)-INDEX(T14:T17,AK13,1)-ABS(AS16)-ABS(AX16)</f>
        <v>-1</v>
      </c>
      <c r="AN16" s="168">
        <f>G16-INDEX(R16:U16,1,$AK$13)-AT16-AY16</f>
        <v>1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1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4.017</v>
      </c>
      <c r="E17" s="151">
        <f>RANK(K17,$K$14:$K$17)</f>
        <v>4</v>
      </c>
      <c r="F17" s="43" t="str">
        <f>VLOOKUP(B17,Ergebniseingabe!$AB$19:$AW$22,2,0)</f>
        <v>VfR 08 Oberhausen 2</v>
      </c>
      <c r="G17" s="39">
        <f>SUMPRODUCT((F17=Ergebniseingabe!$L$27:$AF$38)*(Ergebniseingabe!$BC$27:$BC$38))+SUMPRODUCT((F17=Ergebniseingabe!$AH$27:$BB$38)*(Ergebniseingabe!$BF$27:$BF$38))</f>
        <v>1</v>
      </c>
      <c r="H17" s="39">
        <f>SUMPRODUCT((F17=Ergebniseingabe!$L$27:$AF$38)*(Ergebniseingabe!$BF$27:$BF$38))+SUMPRODUCT((F17=Ergebniseingabe!$AH$27:$BB$38)*(Ergebniseingabe!$BC$27:$BC$38))</f>
        <v>2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2</v>
      </c>
      <c r="J17" s="40">
        <f>G17-H17</f>
        <v>-1</v>
      </c>
      <c r="K17" s="190">
        <f>AC17+AI17+AO17</f>
        <v>199001</v>
      </c>
      <c r="L17" s="39">
        <f>SUMPRODUCT((Ergebniseingabe!$L$27:$AF$38=F17)*(Ergebniseingabe!$BC$27:$BC$38&lt;&gt;""))+SUMPRODUCT((Ergebniseingabe!$AH$27:$BB$38=F17)*(Ergebniseingabe!$BF$27:$BF$38&lt;&gt;""))</f>
        <v>3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2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1</v>
      </c>
      <c r="Q17" s="172" t="str">
        <f>F17</f>
        <v>VfR 08 Oberhausen 2</v>
      </c>
      <c r="R17" s="174">
        <f>IF(AND(Q17&amp;$R$13=VLOOKUP(Q17&amp;$R$13,$D$23:$I$46,1,0),VLOOKUP(Q17&amp;$R$13,$D$23:$I$46,6,0)&lt;&gt;""),VLOOKUP(Q17&amp;$R$13,$D$23:$I$46,6,0),)</f>
        <v>1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VfR 08 Oberhausen 2</v>
      </c>
      <c r="X17" s="174">
        <f>IF(AND(ISNUMBER(R17),ISNUMBER(U14)),IF(R17&gt;U14,3,IF(R17=U14,1,0)),0)</f>
        <v>0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199001</v>
      </c>
      <c r="AD17" s="186">
        <f>COUNTIF(AC14:AC17,AC17)</f>
        <v>1</v>
      </c>
      <c r="AE17" s="186" t="str">
        <f>IF(AD17=1,"x","")</f>
        <v>x</v>
      </c>
      <c r="AF17" s="164"/>
      <c r="AG17" s="176">
        <f>IF(AE17="x",4,IF(AC14=AC17,1,IF(AC15=AC17,2,3)))</f>
        <v>4</v>
      </c>
      <c r="AH17" s="168">
        <f>INDEX(X17:AA17,1,AG17)</f>
        <v>0</v>
      </c>
      <c r="AI17" s="177">
        <f>IF(OR($AD$18=2,$AD$18=4),AH17/10,0)</f>
        <v>0</v>
      </c>
      <c r="AJ17" s="167"/>
      <c r="AK17" s="166"/>
      <c r="AL17" s="168">
        <f>I17-INDEX(X17:AA17,1,$AK$13)-AR17-AW17</f>
        <v>0</v>
      </c>
      <c r="AM17" s="168">
        <f>J17-INDEX(R17:U17,1,AK13)-INDEX(U14:U17,AK13,1)-ABS(AS17)-ABS(AX17)</f>
        <v>-4</v>
      </c>
      <c r="AN17" s="168">
        <f>G17-INDEX(R17:U17,1,$AK$13)-AT17-AY17</f>
        <v>0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1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1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1</v>
      </c>
      <c r="F18" s="151"/>
      <c r="G18" s="151"/>
      <c r="H18" s="151"/>
      <c r="I18" s="151"/>
      <c r="J18" s="151"/>
      <c r="K18" s="151"/>
      <c r="L18" s="151">
        <f>SUM(L14:L17)</f>
        <v>12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75</v>
      </c>
      <c r="AD18" s="188">
        <f>MOD(MIN(AD14:AD17)*MAX(AD14:AD17),11)</f>
        <v>1</v>
      </c>
      <c r="AE18" s="170"/>
      <c r="AF18" s="164"/>
      <c r="AG18" s="178"/>
      <c r="AH18" s="166"/>
      <c r="AI18" s="166"/>
      <c r="AJ18" s="167"/>
      <c r="AK18" s="178"/>
      <c r="AL18" s="189" t="s">
        <v>55</v>
      </c>
      <c r="AM18" s="189" t="s">
        <v>56</v>
      </c>
      <c r="AN18" s="189" t="s">
        <v>76</v>
      </c>
      <c r="AO18" s="170"/>
      <c r="AP18" s="167"/>
      <c r="AQ18" s="170"/>
      <c r="AR18" s="189" t="s">
        <v>55</v>
      </c>
      <c r="AS18" s="189" t="s">
        <v>56</v>
      </c>
      <c r="AT18" s="189" t="s">
        <v>76</v>
      </c>
      <c r="AU18" s="170"/>
      <c r="AV18" s="170"/>
      <c r="AW18" s="189" t="s">
        <v>55</v>
      </c>
      <c r="AX18" s="189" t="s">
        <v>56</v>
      </c>
      <c r="AY18" s="189" t="s">
        <v>76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1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1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1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VfR 08 Oberhausen 1FC Tannenhof 2</v>
      </c>
      <c r="E23" s="36" t="str">
        <f>F5</f>
        <v>VfR 08 Oberhausen 1</v>
      </c>
      <c r="F23" s="36" t="str">
        <f>F6</f>
        <v>FC Tannenhof 2</v>
      </c>
      <c r="G23" s="36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0:0</v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  <v>0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VfR 08 Oberhausen 1GW Vernum 2</v>
      </c>
      <c r="E24" s="36" t="str">
        <f>F5</f>
        <v>VfR 08 Oberhausen 1</v>
      </c>
      <c r="F24" s="36" t="str">
        <f>F7</f>
        <v>GW Vernum 2</v>
      </c>
      <c r="G24" s="36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1:1</v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  <v>1</v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VfR 08 Oberhausen 1SC Auwel-Holt</v>
      </c>
      <c r="E25" s="36" t="str">
        <f>F5</f>
        <v>VfR 08 Oberhausen 1</v>
      </c>
      <c r="F25" s="36" t="str">
        <f>F8</f>
        <v>SC Auwel-Holt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1:1</v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  <v>1</v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FC Tannenhof 2GW Vernum 2</v>
      </c>
      <c r="E26" s="36" t="str">
        <f>F6</f>
        <v>FC Tannenhof 2</v>
      </c>
      <c r="F26" s="36" t="str">
        <f>F7</f>
        <v>GW Vernum 2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1:2</v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FC Tannenhof 2SC Auwel-Holt</v>
      </c>
      <c r="E27" s="36" t="str">
        <f>F6</f>
        <v>FC Tannenhof 2</v>
      </c>
      <c r="F27" s="36" t="str">
        <f>F8</f>
        <v>SC Auwel-Holt</v>
      </c>
      <c r="G27" s="36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0:3</v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  <v>0</v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GW Vernum 2SC Auwel-Holt</v>
      </c>
      <c r="E28" s="36" t="str">
        <f>F7</f>
        <v>GW Vernum 2</v>
      </c>
      <c r="F28" s="36" t="str">
        <f>F8</f>
        <v>SC Auwel-Holt</v>
      </c>
      <c r="G28" s="36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1:0</v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  <v>1</v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FC Tannenhof 2VfR 08 Oberhausen 1</v>
      </c>
      <c r="E29" s="36" t="str">
        <f aca="true" t="shared" si="1" ref="E29:E34">F23</f>
        <v>FC Tannenhof 2</v>
      </c>
      <c r="F29" s="36" t="str">
        <f aca="true" t="shared" si="2" ref="F29:F34">E23</f>
        <v>VfR 08 Oberhausen 1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0:0</v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  <v>0</v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GW Vernum 2VfR 08 Oberhausen 1</v>
      </c>
      <c r="E30" s="36" t="str">
        <f t="shared" si="1"/>
        <v>GW Vernum 2</v>
      </c>
      <c r="F30" s="36" t="str">
        <f t="shared" si="2"/>
        <v>VfR 08 Oberhausen 1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1:1</v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  <v>1</v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SC Auwel-HoltVfR 08 Oberhausen 1</v>
      </c>
      <c r="E31" s="36" t="str">
        <f t="shared" si="1"/>
        <v>SC Auwel-Holt</v>
      </c>
      <c r="F31" s="36" t="str">
        <f t="shared" si="2"/>
        <v>VfR 08 Oberhausen 1</v>
      </c>
      <c r="G31" s="36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1:1</v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  <v>1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GW Vernum 2FC Tannenhof 2</v>
      </c>
      <c r="E32" s="36" t="str">
        <f t="shared" si="1"/>
        <v>GW Vernum 2</v>
      </c>
      <c r="F32" s="36" t="str">
        <f t="shared" si="2"/>
        <v>FC Tannenhof 2</v>
      </c>
      <c r="G32" s="36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2:1</v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SC Auwel-HoltFC Tannenhof 2</v>
      </c>
      <c r="E33" s="36" t="str">
        <f t="shared" si="1"/>
        <v>SC Auwel-Holt</v>
      </c>
      <c r="F33" s="36" t="str">
        <f t="shared" si="2"/>
        <v>FC Tannenhof 2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3:0</v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  <v>3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SC Auwel-HoltGW Vernum 2</v>
      </c>
      <c r="E34" s="36" t="str">
        <f t="shared" si="1"/>
        <v>SC Auwel-Holt</v>
      </c>
      <c r="F34" s="36" t="str">
        <f t="shared" si="2"/>
        <v>GW Vernum 2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0:1</v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  <v>0</v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GW Vernum 3GW Vernum 1</v>
      </c>
      <c r="E35" s="36" t="str">
        <f>F14</f>
        <v>GW Vernum 3</v>
      </c>
      <c r="F35" s="36" t="str">
        <f>F15</f>
        <v>GW Vernum 1</v>
      </c>
      <c r="G35" s="36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1:2</v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  <v>1</v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GW Vernum 3FC Tannenhof 1</v>
      </c>
      <c r="E36" s="36" t="str">
        <f>F14</f>
        <v>GW Vernum 3</v>
      </c>
      <c r="F36" s="36" t="str">
        <f>F16</f>
        <v>FC Tannenhof 1</v>
      </c>
      <c r="G36" s="36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0:2</v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  <v>0</v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GW Vernum 3VfR 08 Oberhausen 2</v>
      </c>
      <c r="E37" s="36" t="str">
        <f>F14</f>
        <v>GW Vernum 3</v>
      </c>
      <c r="F37" s="36" t="str">
        <f>F17</f>
        <v>VfR 08 Oberhausen 2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2:1</v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  <v>2</v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GW Vernum 1FC Tannenhof 1</v>
      </c>
      <c r="E38" s="36" t="str">
        <f>F15</f>
        <v>GW Vernum 1</v>
      </c>
      <c r="F38" s="36" t="str">
        <f>F16</f>
        <v>FC Tannenhof 1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2:1</v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GW Vernum 1VfR 08 Oberhausen 2</v>
      </c>
      <c r="E39" s="36" t="str">
        <f>F15</f>
        <v>GW Vernum 1</v>
      </c>
      <c r="F39" s="36" t="str">
        <f>F17</f>
        <v>VfR 08 Oberhausen 2</v>
      </c>
      <c r="G39" s="36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0:0</v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  <v>0</v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FC Tannenhof 1VfR 08 Oberhausen 2</v>
      </c>
      <c r="E40" s="36" t="str">
        <f>F16</f>
        <v>FC Tannenhof 1</v>
      </c>
      <c r="F40" s="36" t="str">
        <f>F17</f>
        <v>VfR 08 Oberhausen 2</v>
      </c>
      <c r="G40" s="36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0:0</v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  <v>0</v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GW Vernum 1GW Vernum 3</v>
      </c>
      <c r="E41" s="36" t="str">
        <f aca="true" t="shared" si="3" ref="E41:E46">F35</f>
        <v>GW Vernum 1</v>
      </c>
      <c r="F41" s="36" t="str">
        <f aca="true" t="shared" si="4" ref="F41:F46">E35</f>
        <v>GW Vernum 3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2:1</v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  <v>2</v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FC Tannenhof 1GW Vernum 3</v>
      </c>
      <c r="E42" s="36" t="str">
        <f t="shared" si="3"/>
        <v>FC Tannenhof 1</v>
      </c>
      <c r="F42" s="36" t="str">
        <f t="shared" si="4"/>
        <v>GW Vernum 3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2:0</v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  <v>2</v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VfR 08 Oberhausen 2GW Vernum 3</v>
      </c>
      <c r="E43" s="36" t="str">
        <f t="shared" si="3"/>
        <v>VfR 08 Oberhausen 2</v>
      </c>
      <c r="F43" s="36" t="str">
        <f t="shared" si="4"/>
        <v>GW Vernum 3</v>
      </c>
      <c r="G43" s="36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1:2</v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  <v>1</v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FC Tannenhof 1GW Vernum 1</v>
      </c>
      <c r="E44" s="36" t="str">
        <f t="shared" si="3"/>
        <v>FC Tannenhof 1</v>
      </c>
      <c r="F44" s="36" t="str">
        <f t="shared" si="4"/>
        <v>GW Vernum 1</v>
      </c>
      <c r="G44" s="36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1:2</v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VfR 08 Oberhausen 2GW Vernum 1</v>
      </c>
      <c r="E45" s="36" t="str">
        <f t="shared" si="3"/>
        <v>VfR 08 Oberhausen 2</v>
      </c>
      <c r="F45" s="36" t="str">
        <f t="shared" si="4"/>
        <v>GW Vernum 1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0:0</v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  <v>0</v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VfR 08 Oberhausen 2FC Tannenhof 1</v>
      </c>
      <c r="E46" s="36" t="str">
        <f t="shared" si="3"/>
        <v>VfR 08 Oberhausen 2</v>
      </c>
      <c r="F46" s="36" t="str">
        <f t="shared" si="4"/>
        <v>FC Tannenhof 1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0:0</v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  <v>0</v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Klaus</cp:lastModifiedBy>
  <cp:lastPrinted>2017-05-25T11:40:12Z</cp:lastPrinted>
  <dcterms:created xsi:type="dcterms:W3CDTF">2010-02-21T20:13:34Z</dcterms:created>
  <dcterms:modified xsi:type="dcterms:W3CDTF">2017-05-25T11:41:09Z</dcterms:modified>
  <cp:category/>
  <cp:version/>
  <cp:contentType/>
  <cp:contentStatus/>
</cp:coreProperties>
</file>