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749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<sst xmlns="http://schemas.openxmlformats.org/spreadsheetml/2006/main" count="298" uniqueCount="90">
  <si>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</si>
  <si>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</si>
  <si>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</si>
  <si>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</si>
  <si>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</si>
  <si>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</si>
  <si>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</si>
  <si>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</si>
  <si>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</si>
  <si>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</si>
  <si>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</si>
  <si>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</si>
  <si>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</si>
  <si>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</si>
  <si>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</si>
  <si>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</si>
  <si>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</si>
  <si>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</si>
  <si>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</si>
  <si>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</si>
  <si>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</si>
  <si>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</si>
  <si>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</si>
  <si>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</si>
  <si>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</si>
  <si>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</si>
  <si>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</si>
  <si>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</si>
  <si>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</si>
  <si>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</si>
  <si>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</si>
  <si>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</si>
  <si>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</si>
  <si>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</si>
  <si>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</si>
  <si>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</si>
  <si>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</si>
  <si>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</si>
  <si>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</si>
  <si>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</si>
  <si>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</si>
  <si>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</si>
  <si>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</si>
  <si>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</si>
  <si>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</si>
  <si>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</si>
  <si>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</si>
  <si>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</si>
  <si>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</si>
  <si>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</si>
  <si>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</si>
  <si>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</si>
  <si>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</si>
  <si>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</si>
  <si>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</si>
  <si>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</si>
  <si>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</si>
  <si>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</si>
  <si>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</si>
  <si>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</si>
  <si>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</si>
  <si>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</si>
  <si>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</si>
  <si>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</si>
  <si>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</si>
  <si>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</si>
  <si>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</si>
  <si>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</si>
  <si>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</si>
  <si>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</si>
  <si>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</si>
  <si>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</si>
  <si>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</si>
  <si>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</si>
  <si>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</si>
  <si>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</si>
  <si>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</si>
  <si>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</si>
  <si>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SV Grün Weiß Vernum 1949 e.V.</t>
  </si>
  <si>
    <t>Gerhard-Waerdt Sportanlage, Vernumer Str. 157, 47608 Geldern/Vernum</t>
  </si>
  <si>
    <t>B - Juniorinnen</t>
  </si>
  <si>
    <t>22. GWV Jugendturnier 2017</t>
  </si>
  <si>
    <t>GW Wesel-Flüren</t>
  </si>
  <si>
    <t>DJK Lösort-Meiderich</t>
  </si>
  <si>
    <t>Fortuna Keppeln</t>
  </si>
  <si>
    <t>SV Walbeck</t>
  </si>
  <si>
    <t>Weseler SV</t>
  </si>
  <si>
    <t>SV Sonsbeck</t>
  </si>
  <si>
    <t xml:space="preserve">GW Vernum </t>
  </si>
  <si>
    <t>SV Veert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</si>
</sst>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4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79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4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4" fillId="39" borderId="57" xfId="0" applyNumberFormat="1" applyFont="1" applyFill="1" applyBorder="1" applyAlignment="1" applyProtection="1">
      <alignment horizontal="center" vertical="center"/>
      <protection hidden="1"/>
    </xf>
    <xf numFmtId="179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74" fontId="14" fillId="0" borderId="46" xfId="0" applyNumberFormat="1" applyFont="1" applyFill="1" applyBorder="1" applyAlignment="1" applyProtection="1">
      <alignment horizontal="center" vertical="center"/>
      <protection hidden="1"/>
    </xf>
    <xf numFmtId="174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57" xfId="0" applyNumberFormat="1" applyFont="1" applyFill="1" applyBorder="1" applyAlignment="1" applyProtection="1">
      <alignment horizontal="center" vertical="center"/>
      <protection hidden="1"/>
    </xf>
    <xf numFmtId="179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4" fontId="10" fillId="0" borderId="46" xfId="0" applyNumberFormat="1" applyFont="1" applyFill="1" applyBorder="1" applyAlignment="1" applyProtection="1">
      <alignment horizontal="center" vertical="center"/>
      <protection hidden="1"/>
    </xf>
    <xf numFmtId="174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4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174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79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104775</xdr:colOff>
      <xdr:row>0</xdr:row>
      <xdr:rowOff>0</xdr:rowOff>
    </xdr:from>
    <xdr:to>
      <xdr:col>61</xdr:col>
      <xdr:colOff>28575</xdr:colOff>
      <xdr:row>9</xdr:row>
      <xdr:rowOff>38100</xdr:rowOff>
    </xdr:to>
    <xdr:pic>
      <xdr:nvPicPr>
        <xdr:cNvPr id="1" name="Grafik 1" descr="SV GW Vernum Logo_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1781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9525</xdr:colOff>
      <xdr:row>0</xdr:row>
      <xdr:rowOff>57150</xdr:rowOff>
    </xdr:from>
    <xdr:to>
      <xdr:col>56</xdr:col>
      <xdr:colOff>104775</xdr:colOff>
      <xdr:row>6</xdr:row>
      <xdr:rowOff>38100</xdr:rowOff>
    </xdr:to>
    <xdr:pic>
      <xdr:nvPicPr>
        <xdr:cNvPr id="1" name="Grafik 1" descr="SV GW Vernum Logo_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5715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70">
      <selection activeCell="BE93" sqref="BE93:BH93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4" t="s">
        <v>78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3" t="s">
        <v>81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Z3" s="213" t="s">
        <v>61</v>
      </c>
      <c r="BA3" s="213"/>
      <c r="BB3" s="213"/>
      <c r="BC3" s="213"/>
      <c r="BD3" s="213"/>
      <c r="BE3" s="213"/>
      <c r="BF3" s="213"/>
      <c r="BG3" s="21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2" t="s">
        <v>80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5">
        <v>42881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1" t="s">
        <v>79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11">
        <v>0.7083333333333334</v>
      </c>
      <c r="I11" s="211"/>
      <c r="J11" s="211"/>
      <c r="K11" s="211"/>
      <c r="L11" s="17" t="s">
        <v>0</v>
      </c>
      <c r="T11" s="45" t="s">
        <v>1</v>
      </c>
      <c r="U11" s="212">
        <v>1</v>
      </c>
      <c r="V11" s="212"/>
      <c r="W11" s="46" t="s">
        <v>2</v>
      </c>
      <c r="X11" s="207">
        <v>12</v>
      </c>
      <c r="Y11" s="207"/>
      <c r="Z11" s="207"/>
      <c r="AA11" s="207"/>
      <c r="AB11" s="207"/>
      <c r="AC11" s="206">
        <f>IF(U11=2,"Halbzeit:","")</f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3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11">
        <f>H38+TEXT(2*$U$11*($X$11/1440)+($AI$11/1440)+($AW$11/1440),"hh:mm")</f>
        <v>0.8416666666666663</v>
      </c>
      <c r="I14" s="211"/>
      <c r="J14" s="211"/>
      <c r="K14" s="211"/>
      <c r="L14" s="17" t="s">
        <v>0</v>
      </c>
      <c r="T14" s="45" t="s">
        <v>1</v>
      </c>
      <c r="U14" s="212">
        <f>U11</f>
        <v>1</v>
      </c>
      <c r="V14" s="212"/>
      <c r="W14" s="46" t="s">
        <v>2</v>
      </c>
      <c r="X14" s="207">
        <f>X11</f>
        <v>12</v>
      </c>
      <c r="Y14" s="207"/>
      <c r="Z14" s="207"/>
      <c r="AA14" s="207"/>
      <c r="AB14" s="207"/>
      <c r="AC14" s="206">
        <f>IF(U14=2,"Halbzeit:","")</f>
      </c>
      <c r="AD14" s="206"/>
      <c r="AE14" s="206"/>
      <c r="AF14" s="206"/>
      <c r="AG14" s="206"/>
      <c r="AH14" s="206"/>
      <c r="AI14" s="210">
        <f>AI11</f>
        <v>0</v>
      </c>
      <c r="AJ14" s="210"/>
      <c r="AK14" s="210"/>
      <c r="AL14" s="210"/>
      <c r="AM14" s="21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f>AW11</f>
        <v>3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38" t="s">
        <v>5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40"/>
      <c r="AC18" s="335" t="s">
        <v>6</v>
      </c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7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89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84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85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83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86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82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3" t="s">
        <v>87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AB22" s="117">
        <v>4</v>
      </c>
      <c r="AC22" s="203" t="s">
        <v>88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5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5" t="s">
        <v>9</v>
      </c>
      <c r="D26" s="326"/>
      <c r="E26" s="305" t="s">
        <v>10</v>
      </c>
      <c r="F26" s="306"/>
      <c r="G26" s="327"/>
      <c r="H26" s="305" t="s">
        <v>63</v>
      </c>
      <c r="I26" s="306"/>
      <c r="J26" s="306"/>
      <c r="K26" s="327"/>
      <c r="L26" s="305" t="s">
        <v>11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27"/>
      <c r="BC26" s="305" t="s">
        <v>12</v>
      </c>
      <c r="BD26" s="306"/>
      <c r="BE26" s="306"/>
      <c r="BF26" s="306"/>
      <c r="BG26" s="306"/>
      <c r="BH26" s="118"/>
    </row>
    <row r="27" spans="3:60" s="22" customFormat="1" ht="18" customHeight="1">
      <c r="C27" s="294">
        <v>1</v>
      </c>
      <c r="D27" s="295"/>
      <c r="E27" s="295" t="s">
        <v>13</v>
      </c>
      <c r="F27" s="295"/>
      <c r="G27" s="295"/>
      <c r="H27" s="401">
        <f>$H$11</f>
        <v>0.7083333333333334</v>
      </c>
      <c r="I27" s="402"/>
      <c r="J27" s="402"/>
      <c r="K27" s="403"/>
      <c r="L27" s="316" t="str">
        <f>$D$19</f>
        <v>SV Veert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120" t="s">
        <v>14</v>
      </c>
      <c r="AH27" s="288" t="str">
        <f>$D$20</f>
        <v>SV Walbeck</v>
      </c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/>
      <c r="BC27" s="307">
        <v>0</v>
      </c>
      <c r="BD27" s="308"/>
      <c r="BE27" s="308"/>
      <c r="BF27" s="310">
        <v>0</v>
      </c>
      <c r="BG27" s="310"/>
      <c r="BH27" s="121"/>
    </row>
    <row r="28" spans="3:60" s="22" customFormat="1" ht="18" customHeight="1" thickBot="1">
      <c r="C28" s="292">
        <v>2</v>
      </c>
      <c r="D28" s="293"/>
      <c r="E28" s="293" t="s">
        <v>13</v>
      </c>
      <c r="F28" s="293"/>
      <c r="G28" s="293"/>
      <c r="H28" s="329">
        <f>H27+TEXT($U$11*($X$11/1440)+($AI$11/1440)+($AW$11/1440),"hh:mm")</f>
        <v>0.71875</v>
      </c>
      <c r="I28" s="330"/>
      <c r="J28" s="330"/>
      <c r="K28" s="331"/>
      <c r="L28" s="332" t="str">
        <f>$D$21</f>
        <v>Weseler SV</v>
      </c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109" t="s">
        <v>14</v>
      </c>
      <c r="AH28" s="286" t="str">
        <f>$D$22</f>
        <v>SV Sonsbeck</v>
      </c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7"/>
      <c r="BC28" s="225">
        <v>0</v>
      </c>
      <c r="BD28" s="226"/>
      <c r="BE28" s="226"/>
      <c r="BF28" s="223">
        <v>1</v>
      </c>
      <c r="BG28" s="224"/>
      <c r="BH28" s="121"/>
    </row>
    <row r="29" spans="3:60" s="22" customFormat="1" ht="18" customHeight="1">
      <c r="C29" s="296">
        <v>3</v>
      </c>
      <c r="D29" s="297"/>
      <c r="E29" s="297" t="s">
        <v>15</v>
      </c>
      <c r="F29" s="297"/>
      <c r="G29" s="297"/>
      <c r="H29" s="342">
        <f aca="true" t="shared" si="0" ref="H29:H37">H28+TEXT($U$11*($X$11/1440)+($AI$11/1440)+($AW$11/1440),"hh:mm")</f>
        <v>0.7291666666666666</v>
      </c>
      <c r="I29" s="343"/>
      <c r="J29" s="343"/>
      <c r="K29" s="344"/>
      <c r="L29" s="290" t="str">
        <f>$AC$19</f>
        <v>Fortuna Keppeln</v>
      </c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191" t="s">
        <v>14</v>
      </c>
      <c r="AH29" s="291" t="str">
        <f>$AC$20</f>
        <v>DJK Lösort-Meiderich</v>
      </c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311"/>
      <c r="BC29" s="227">
        <v>0</v>
      </c>
      <c r="BD29" s="228"/>
      <c r="BE29" s="228"/>
      <c r="BF29" s="309">
        <v>3</v>
      </c>
      <c r="BG29" s="309"/>
      <c r="BH29" s="121"/>
    </row>
    <row r="30" spans="3:60" s="22" customFormat="1" ht="18" customHeight="1" thickBot="1">
      <c r="C30" s="292">
        <v>4</v>
      </c>
      <c r="D30" s="293"/>
      <c r="E30" s="293" t="s">
        <v>15</v>
      </c>
      <c r="F30" s="293"/>
      <c r="G30" s="293"/>
      <c r="H30" s="329">
        <f t="shared" si="0"/>
        <v>0.7395833333333333</v>
      </c>
      <c r="I30" s="330"/>
      <c r="J30" s="330"/>
      <c r="K30" s="331"/>
      <c r="L30" s="332" t="str">
        <f>$AC$21</f>
        <v>GW Wesel-Flüren</v>
      </c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109" t="s">
        <v>14</v>
      </c>
      <c r="AH30" s="286" t="str">
        <f>$AC$22</f>
        <v>GW Vernum </v>
      </c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C30" s="225">
        <v>1</v>
      </c>
      <c r="BD30" s="226"/>
      <c r="BE30" s="226"/>
      <c r="BF30" s="223">
        <v>0</v>
      </c>
      <c r="BG30" s="224"/>
      <c r="BH30" s="121"/>
    </row>
    <row r="31" spans="3:60" s="22" customFormat="1" ht="18" customHeight="1">
      <c r="C31" s="296">
        <v>5</v>
      </c>
      <c r="D31" s="297"/>
      <c r="E31" s="297" t="s">
        <v>13</v>
      </c>
      <c r="F31" s="297"/>
      <c r="G31" s="297"/>
      <c r="H31" s="342">
        <f t="shared" si="0"/>
        <v>0.7499999999999999</v>
      </c>
      <c r="I31" s="343"/>
      <c r="J31" s="343"/>
      <c r="K31" s="344"/>
      <c r="L31" s="290" t="str">
        <f>$D$19</f>
        <v>SV Veert</v>
      </c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191" t="s">
        <v>14</v>
      </c>
      <c r="AH31" s="291" t="str">
        <f>$D$21</f>
        <v>Weseler SV</v>
      </c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311"/>
      <c r="BC31" s="227">
        <v>0</v>
      </c>
      <c r="BD31" s="228"/>
      <c r="BE31" s="228"/>
      <c r="BF31" s="309">
        <v>0</v>
      </c>
      <c r="BG31" s="309"/>
      <c r="BH31" s="121"/>
    </row>
    <row r="32" spans="3:60" s="22" customFormat="1" ht="18" customHeight="1" thickBot="1">
      <c r="C32" s="292">
        <v>6</v>
      </c>
      <c r="D32" s="293"/>
      <c r="E32" s="293" t="s">
        <v>13</v>
      </c>
      <c r="F32" s="293"/>
      <c r="G32" s="293"/>
      <c r="H32" s="329">
        <f t="shared" si="0"/>
        <v>0.7604166666666665</v>
      </c>
      <c r="I32" s="330"/>
      <c r="J32" s="330"/>
      <c r="K32" s="331"/>
      <c r="L32" s="332" t="str">
        <f>$D$20</f>
        <v>SV Walbeck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109" t="s">
        <v>14</v>
      </c>
      <c r="AH32" s="286" t="str">
        <f>$D$22</f>
        <v>SV Sonsbeck</v>
      </c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25">
        <v>3</v>
      </c>
      <c r="BD32" s="226"/>
      <c r="BE32" s="226"/>
      <c r="BF32" s="223">
        <v>0</v>
      </c>
      <c r="BG32" s="224"/>
      <c r="BH32" s="121"/>
    </row>
    <row r="33" spans="3:60" s="22" customFormat="1" ht="18" customHeight="1">
      <c r="C33" s="296">
        <v>7</v>
      </c>
      <c r="D33" s="297"/>
      <c r="E33" s="297" t="s">
        <v>15</v>
      </c>
      <c r="F33" s="297"/>
      <c r="G33" s="297"/>
      <c r="H33" s="342">
        <f t="shared" si="0"/>
        <v>0.7708333333333331</v>
      </c>
      <c r="I33" s="343"/>
      <c r="J33" s="343"/>
      <c r="K33" s="344"/>
      <c r="L33" s="290" t="str">
        <f>$AC$19</f>
        <v>Fortuna Keppeln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191" t="s">
        <v>14</v>
      </c>
      <c r="AH33" s="291" t="str">
        <f>$AC$21</f>
        <v>GW Wesel-Flüren</v>
      </c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311"/>
      <c r="BC33" s="227">
        <v>1</v>
      </c>
      <c r="BD33" s="228"/>
      <c r="BE33" s="228"/>
      <c r="BF33" s="309">
        <v>0</v>
      </c>
      <c r="BG33" s="309"/>
      <c r="BH33" s="121"/>
    </row>
    <row r="34" spans="3:60" s="22" customFormat="1" ht="18" customHeight="1" thickBot="1">
      <c r="C34" s="292">
        <v>8</v>
      </c>
      <c r="D34" s="293"/>
      <c r="E34" s="293" t="s">
        <v>15</v>
      </c>
      <c r="F34" s="293"/>
      <c r="G34" s="293"/>
      <c r="H34" s="329">
        <f t="shared" si="0"/>
        <v>0.7812499999999998</v>
      </c>
      <c r="I34" s="330"/>
      <c r="J34" s="330"/>
      <c r="K34" s="331"/>
      <c r="L34" s="332" t="str">
        <f>$AC$20</f>
        <v>DJK Lösort-Meiderich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109" t="s">
        <v>14</v>
      </c>
      <c r="AH34" s="286" t="str">
        <f>$AC$22</f>
        <v>GW Vernum </v>
      </c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225">
        <v>2</v>
      </c>
      <c r="BD34" s="226"/>
      <c r="BE34" s="226"/>
      <c r="BF34" s="223">
        <v>0</v>
      </c>
      <c r="BG34" s="224"/>
      <c r="BH34" s="121"/>
    </row>
    <row r="35" spans="3:60" s="22" customFormat="1" ht="18" customHeight="1">
      <c r="C35" s="296">
        <v>9</v>
      </c>
      <c r="D35" s="297"/>
      <c r="E35" s="297" t="s">
        <v>13</v>
      </c>
      <c r="F35" s="297"/>
      <c r="G35" s="297"/>
      <c r="H35" s="342">
        <f t="shared" si="0"/>
        <v>0.7916666666666664</v>
      </c>
      <c r="I35" s="343"/>
      <c r="J35" s="343"/>
      <c r="K35" s="344"/>
      <c r="L35" s="290" t="str">
        <f>$D$22</f>
        <v>SV Sonsbeck</v>
      </c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191" t="s">
        <v>14</v>
      </c>
      <c r="AH35" s="291" t="str">
        <f>$D$19</f>
        <v>SV Veert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311"/>
      <c r="BC35" s="227">
        <v>1</v>
      </c>
      <c r="BD35" s="228"/>
      <c r="BE35" s="228"/>
      <c r="BF35" s="309">
        <v>2</v>
      </c>
      <c r="BG35" s="309"/>
      <c r="BH35" s="121"/>
    </row>
    <row r="36" spans="3:60" s="22" customFormat="1" ht="18" customHeight="1" thickBot="1">
      <c r="C36" s="292">
        <v>10</v>
      </c>
      <c r="D36" s="293"/>
      <c r="E36" s="293" t="s">
        <v>13</v>
      </c>
      <c r="F36" s="293"/>
      <c r="G36" s="293"/>
      <c r="H36" s="329">
        <f t="shared" si="0"/>
        <v>0.802083333333333</v>
      </c>
      <c r="I36" s="330"/>
      <c r="J36" s="330"/>
      <c r="K36" s="331"/>
      <c r="L36" s="332" t="str">
        <f>$D$21</f>
        <v>Weseler SV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109" t="s">
        <v>14</v>
      </c>
      <c r="AH36" s="286" t="str">
        <f>$D$20</f>
        <v>SV Walbeck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7"/>
      <c r="BC36" s="225">
        <v>0</v>
      </c>
      <c r="BD36" s="226"/>
      <c r="BE36" s="226"/>
      <c r="BF36" s="223">
        <v>2</v>
      </c>
      <c r="BG36" s="224"/>
      <c r="BH36" s="121"/>
    </row>
    <row r="37" spans="3:60" s="22" customFormat="1" ht="18" customHeight="1">
      <c r="C37" s="296">
        <v>11</v>
      </c>
      <c r="D37" s="297"/>
      <c r="E37" s="297" t="s">
        <v>15</v>
      </c>
      <c r="F37" s="297"/>
      <c r="G37" s="297"/>
      <c r="H37" s="342">
        <f t="shared" si="0"/>
        <v>0.8124999999999997</v>
      </c>
      <c r="I37" s="343"/>
      <c r="J37" s="343"/>
      <c r="K37" s="344"/>
      <c r="L37" s="290" t="str">
        <f>$AC$22</f>
        <v>GW Vernum </v>
      </c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191" t="s">
        <v>14</v>
      </c>
      <c r="AH37" s="291" t="str">
        <f>$AC$19</f>
        <v>Fortuna Keppeln</v>
      </c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311"/>
      <c r="BC37" s="227">
        <v>0</v>
      </c>
      <c r="BD37" s="228"/>
      <c r="BE37" s="228"/>
      <c r="BF37" s="309">
        <v>2</v>
      </c>
      <c r="BG37" s="309"/>
      <c r="BH37" s="121"/>
    </row>
    <row r="38" spans="3:130" s="22" customFormat="1" ht="18" customHeight="1" thickBot="1">
      <c r="C38" s="292">
        <v>12</v>
      </c>
      <c r="D38" s="293"/>
      <c r="E38" s="293" t="s">
        <v>15</v>
      </c>
      <c r="F38" s="293"/>
      <c r="G38" s="293"/>
      <c r="H38" s="329">
        <f>H37+TEXT($U$11*($X$11/1440)+($AI$11/1440)+($AW$11/1440),"hh:mm")</f>
        <v>0.8229166666666663</v>
      </c>
      <c r="I38" s="330"/>
      <c r="J38" s="330"/>
      <c r="K38" s="331"/>
      <c r="L38" s="332" t="str">
        <f>$AC$21</f>
        <v>GW Wesel-Flüren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109" t="s">
        <v>14</v>
      </c>
      <c r="AH38" s="286" t="str">
        <f>$AC$20</f>
        <v>DJK Lösort-Meiderich</v>
      </c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C38" s="225">
        <v>0</v>
      </c>
      <c r="BD38" s="226"/>
      <c r="BE38" s="226"/>
      <c r="BF38" s="223">
        <v>3</v>
      </c>
      <c r="BG38" s="223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2" t="str">
        <f>M49</f>
        <v>SV Walbeck</v>
      </c>
      <c r="AI41" s="243"/>
      <c r="AJ41" s="244"/>
      <c r="AK41" s="257" t="str">
        <f>M50</f>
        <v>SV Veert</v>
      </c>
      <c r="AL41" s="243"/>
      <c r="AM41" s="244"/>
      <c r="AN41" s="257" t="str">
        <f>M51</f>
        <v>SV Sonsbeck</v>
      </c>
      <c r="AO41" s="243"/>
      <c r="AP41" s="244"/>
      <c r="AQ41" s="257" t="str">
        <f>M52</f>
        <v>Weseler SV</v>
      </c>
      <c r="AR41" s="243"/>
      <c r="AS41" s="258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5"/>
      <c r="AI42" s="246"/>
      <c r="AJ42" s="247"/>
      <c r="AK42" s="259"/>
      <c r="AL42" s="246"/>
      <c r="AM42" s="247"/>
      <c r="AN42" s="259"/>
      <c r="AO42" s="246"/>
      <c r="AP42" s="247"/>
      <c r="AQ42" s="259"/>
      <c r="AR42" s="246"/>
      <c r="AS42" s="26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5"/>
      <c r="AI43" s="246"/>
      <c r="AJ43" s="247"/>
      <c r="AK43" s="259"/>
      <c r="AL43" s="246"/>
      <c r="AM43" s="247"/>
      <c r="AN43" s="259"/>
      <c r="AO43" s="246"/>
      <c r="AP43" s="247"/>
      <c r="AQ43" s="259"/>
      <c r="AR43" s="246"/>
      <c r="AS43" s="26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5"/>
      <c r="AI44" s="246"/>
      <c r="AJ44" s="247"/>
      <c r="AK44" s="259"/>
      <c r="AL44" s="246"/>
      <c r="AM44" s="247"/>
      <c r="AN44" s="259"/>
      <c r="AO44" s="246"/>
      <c r="AP44" s="247"/>
      <c r="AQ44" s="259"/>
      <c r="AR44" s="246"/>
      <c r="AS44" s="26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5"/>
      <c r="AI45" s="246"/>
      <c r="AJ45" s="247"/>
      <c r="AK45" s="259"/>
      <c r="AL45" s="246"/>
      <c r="AM45" s="247"/>
      <c r="AN45" s="259"/>
      <c r="AO45" s="246"/>
      <c r="AP45" s="247"/>
      <c r="AQ45" s="259"/>
      <c r="AR45" s="246"/>
      <c r="AS45" s="26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5"/>
      <c r="AI46" s="246"/>
      <c r="AJ46" s="247"/>
      <c r="AK46" s="259"/>
      <c r="AL46" s="246"/>
      <c r="AM46" s="247"/>
      <c r="AN46" s="259"/>
      <c r="AO46" s="246"/>
      <c r="AP46" s="247"/>
      <c r="AQ46" s="259"/>
      <c r="AR46" s="246"/>
      <c r="AS46" s="26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9" t="s">
        <v>16</v>
      </c>
      <c r="D47" s="300"/>
      <c r="E47" s="300"/>
      <c r="F47" s="300"/>
      <c r="G47" s="300"/>
      <c r="H47" s="300"/>
      <c r="I47" s="301"/>
      <c r="AH47" s="245"/>
      <c r="AI47" s="246"/>
      <c r="AJ47" s="247"/>
      <c r="AK47" s="259"/>
      <c r="AL47" s="246"/>
      <c r="AM47" s="247"/>
      <c r="AN47" s="259"/>
      <c r="AO47" s="246"/>
      <c r="AP47" s="247"/>
      <c r="AQ47" s="259"/>
      <c r="AR47" s="246"/>
      <c r="AS47" s="26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02" t="s">
        <v>17</v>
      </c>
      <c r="D48" s="303"/>
      <c r="E48" s="303"/>
      <c r="F48" s="304"/>
      <c r="G48" s="302" t="s">
        <v>18</v>
      </c>
      <c r="H48" s="303"/>
      <c r="I48" s="304"/>
      <c r="K48" s="231" t="str">
        <f>IF(' '!L9=0,D18,IF(' '!B9&lt;&gt;' '!L9,"es liegen nicht alle Ergebnisse vor",D18))</f>
        <v>Gruppe A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48"/>
      <c r="AI48" s="249"/>
      <c r="AJ48" s="250"/>
      <c r="AK48" s="261"/>
      <c r="AL48" s="249"/>
      <c r="AM48" s="250"/>
      <c r="AN48" s="261"/>
      <c r="AO48" s="249"/>
      <c r="AP48" s="250"/>
      <c r="AQ48" s="261"/>
      <c r="AR48" s="249"/>
      <c r="AS48" s="262"/>
      <c r="AT48" s="232" t="s">
        <v>19</v>
      </c>
      <c r="AU48" s="232"/>
      <c r="AV48" s="371"/>
      <c r="AW48" s="369" t="s">
        <v>20</v>
      </c>
      <c r="AX48" s="232"/>
      <c r="AY48" s="371"/>
      <c r="AZ48" s="369" t="s">
        <v>21</v>
      </c>
      <c r="BA48" s="232"/>
      <c r="BB48" s="371"/>
      <c r="BC48" s="369" t="s">
        <v>22</v>
      </c>
      <c r="BD48" s="232"/>
      <c r="BE48" s="371"/>
      <c r="BF48" s="370" t="s">
        <v>23</v>
      </c>
      <c r="BG48" s="370"/>
      <c r="BH48" s="370"/>
      <c r="BI48" s="370"/>
      <c r="BJ48" s="370"/>
      <c r="BK48" s="370" t="s">
        <v>24</v>
      </c>
      <c r="BL48" s="370"/>
      <c r="BM48" s="369"/>
      <c r="BN48" s="369" t="s">
        <v>25</v>
      </c>
      <c r="BO48" s="232"/>
      <c r="BP48" s="233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8"/>
      <c r="D49" s="298"/>
      <c r="E49" s="298"/>
      <c r="F49" s="298"/>
      <c r="G49" s="298"/>
      <c r="H49" s="298"/>
      <c r="I49" s="298"/>
      <c r="K49" s="240">
        <f>IF(' '!$L$9=0,"",1)</f>
        <v>1</v>
      </c>
      <c r="L49" s="241"/>
      <c r="M49" s="238" t="str">
        <f>IF(' '!$L$9=0,D19,VLOOKUP(' '!B5,' '!$C$5:$O$8,4,0))</f>
        <v>SV Walbeck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74"/>
      <c r="AI49" s="274"/>
      <c r="AJ49" s="275"/>
      <c r="AK49" s="272" t="str">
        <f>IF(AND(M49&amp;$AK$41=VLOOKUP(M49&amp;$AK$41,' '!$D$23:$H$46,1,0),VLOOKUP(M49&amp;$AK$41,' '!$D$23:$H$46,4,0)&lt;&gt;""),VLOOKUP(M49&amp;$AK$41,' '!$D$23:$H$46,4,0),VLOOKUP(M49&amp;$AK$41,' '!$D$23:$H$46,5,0))</f>
        <v>0:0</v>
      </c>
      <c r="AL49" s="272"/>
      <c r="AM49" s="272"/>
      <c r="AN49" s="272" t="str">
        <f>IF(AND(M49&amp;$AN$41=VLOOKUP(M49&amp;$AN$41,' '!$D$23:$H$46,1,0),VLOOKUP(M49&amp;$AN$41,' '!$D$23:$H$46,4,0)&lt;&gt;""),VLOOKUP(M49&amp;$AN$41,' '!$D$23:$H$46,4,0),VLOOKUP(M49&amp;$AN$41,' '!$D$23:$H$46,5,0))</f>
        <v>3:0</v>
      </c>
      <c r="AO49" s="272"/>
      <c r="AP49" s="272"/>
      <c r="AQ49" s="270" t="str">
        <f>IF(AND(M49&amp;$AQ$41=VLOOKUP(M49&amp;$AQ$41,' '!$D$23:$H$46,1,0),VLOOKUP(M49&amp;$AQ$41,' '!$D$23:$H$46,4,0)&lt;&gt;""),VLOOKUP(M49&amp;$AQ$41,' '!$D$23:$H$46,4,0),VLOOKUP(M49&amp;$AQ$41,' '!$D$23:$H$46,5,0))</f>
        <v>2:0</v>
      </c>
      <c r="AR49" s="271"/>
      <c r="AS49" s="271"/>
      <c r="AT49" s="271">
        <f>IF(' '!$L$9=0,"",VLOOKUP(' '!B5,' '!$C$5:$O$8,10,0))</f>
        <v>3</v>
      </c>
      <c r="AU49" s="271"/>
      <c r="AV49" s="364"/>
      <c r="AW49" s="272">
        <f>IF(' '!$L$9=0,"",VLOOKUP(' '!B5,' '!$C$5:$O$8,11,0))</f>
        <v>2</v>
      </c>
      <c r="AX49" s="272"/>
      <c r="AY49" s="272"/>
      <c r="AZ49" s="272">
        <f>IF(' '!$L$9=0,"",VLOOKUP(' '!B5,' '!$C$5:$O$8,12,0))</f>
        <v>1</v>
      </c>
      <c r="BA49" s="272"/>
      <c r="BB49" s="272"/>
      <c r="BC49" s="272">
        <f>IF(' '!$L$9=0,"",VLOOKUP(' '!B5,' '!$C$5:$O$8,13,0))</f>
        <v>0</v>
      </c>
      <c r="BD49" s="272"/>
      <c r="BE49" s="272"/>
      <c r="BF49" s="360">
        <f>IF(' '!$L$9=0,"",VLOOKUP(' '!B5,' '!$C$5:$O$8,5,0))</f>
        <v>5</v>
      </c>
      <c r="BG49" s="360"/>
      <c r="BH49" s="123" t="str">
        <f>IF(' '!$L$9=0,"",":")</f>
        <v>:</v>
      </c>
      <c r="BI49" s="361">
        <f>IF(' '!$L$9=0,"",VLOOKUP(' '!B5,' '!$C$5:$O$8,6,0))</f>
        <v>0</v>
      </c>
      <c r="BJ49" s="272"/>
      <c r="BK49" s="372">
        <f>IF(' '!$L$9=0,"",BF49-BI49)</f>
        <v>5</v>
      </c>
      <c r="BL49" s="372"/>
      <c r="BM49" s="373"/>
      <c r="BN49" s="272">
        <f>IF(' '!$L$9=0,"",VLOOKUP(' '!B5,' '!$C$5:$O$8,7,0))</f>
        <v>7</v>
      </c>
      <c r="BO49" s="272"/>
      <c r="BP49" s="270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8"/>
      <c r="D50" s="298"/>
      <c r="E50" s="298"/>
      <c r="F50" s="298"/>
      <c r="G50" s="298"/>
      <c r="H50" s="298"/>
      <c r="I50" s="298"/>
      <c r="K50" s="365">
        <f>IF(' '!$L$9=0,"",IF(VLOOKUP(' '!B6,' '!$C$5:$E$8,3,0)=MAX(K$49:K49),"",' '!B6))</f>
        <v>2</v>
      </c>
      <c r="L50" s="366"/>
      <c r="M50" s="236" t="str">
        <f>IF(' '!$L$9=0,D20,VLOOKUP(' '!B6,' '!$C$5:$O$8,4,0))</f>
        <v>SV Veert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67" t="str">
        <f>IF(AND(M50&amp;$AH$41=VLOOKUP(M50&amp;$AH$41,' '!$D$23:$H$46,1,0),VLOOKUP(M50&amp;$AH$41,' '!$D$23:$H$46,4,0)&lt;&gt;""),VLOOKUP(M50&amp;$AH$41,' '!$D$23:$H$46,4,0),VLOOKUP(M50&amp;$AH$41,' '!$D$23:$H$46,5,0))</f>
        <v>0:0</v>
      </c>
      <c r="AI50" s="267"/>
      <c r="AJ50" s="273"/>
      <c r="AK50" s="265"/>
      <c r="AL50" s="265"/>
      <c r="AM50" s="265"/>
      <c r="AN50" s="264" t="str">
        <f>IF(AND(M50&amp;$AN$41=VLOOKUP(M50&amp;$AN$41,' '!$D$23:$H$46,1,0),VLOOKUP(M50&amp;$AN$41,' '!$D$23:$H$46,4,0)&lt;&gt;""),VLOOKUP(M50&amp;$AN$41,' '!$D$23:$H$46,4,0),VLOOKUP(M50&amp;$AN$41,' '!$D$23:$H$46,5,0))</f>
        <v>2:1</v>
      </c>
      <c r="AO50" s="264"/>
      <c r="AP50" s="264"/>
      <c r="AQ50" s="266" t="str">
        <f>IF(AND(M50&amp;$AQ$41=VLOOKUP(M50&amp;$AQ$41,' '!$D$23:$H$46,1,0),VLOOKUP(M50&amp;$AQ$41,' '!$D$23:$H$46,4,0)&lt;&gt;""),VLOOKUP(M50&amp;$AQ$41,' '!$D$23:$H$46,4,0),VLOOKUP(M50&amp;$AQ$41,' '!$D$23:$H$46,5,0))</f>
        <v>0:0</v>
      </c>
      <c r="AR50" s="267"/>
      <c r="AS50" s="267"/>
      <c r="AT50" s="267">
        <f>IF(' '!$L$9=0,"",VLOOKUP(' '!B6,' '!$C$5:$O$8,10,0))</f>
        <v>3</v>
      </c>
      <c r="AU50" s="267"/>
      <c r="AV50" s="273"/>
      <c r="AW50" s="264">
        <f>IF(' '!$L$9=0,"",VLOOKUP(' '!B6,' '!$C$5:$O$8,11,0))</f>
        <v>1</v>
      </c>
      <c r="AX50" s="264"/>
      <c r="AY50" s="264"/>
      <c r="AZ50" s="264">
        <f>IF(' '!$L$9=0,"",VLOOKUP(' '!B6,' '!$C$5:$O$8,12,0))</f>
        <v>2</v>
      </c>
      <c r="BA50" s="264"/>
      <c r="BB50" s="264"/>
      <c r="BC50" s="264">
        <f>IF(' '!$L$9=0,"",VLOOKUP(' '!B6,' '!$C$5:$O$8,13,0))</f>
        <v>0</v>
      </c>
      <c r="BD50" s="264"/>
      <c r="BE50" s="264"/>
      <c r="BF50" s="351">
        <f>IF(' '!$L$9=0,"",VLOOKUP(' '!B6,' '!$C$5:$O$8,5,0))</f>
        <v>2</v>
      </c>
      <c r="BG50" s="351"/>
      <c r="BH50" s="124" t="str">
        <f>IF(' '!$L$9=0,"",":")</f>
        <v>:</v>
      </c>
      <c r="BI50" s="347">
        <f>IF(' '!$L$9=0,"",VLOOKUP(' '!B6,' '!$C$5:$O$8,6,0))</f>
        <v>1</v>
      </c>
      <c r="BJ50" s="264"/>
      <c r="BK50" s="348">
        <f>IF(' '!$L$9=0,"",BF50-BI50)</f>
        <v>1</v>
      </c>
      <c r="BL50" s="348"/>
      <c r="BM50" s="349"/>
      <c r="BN50" s="264">
        <f>IF(' '!$L$9=0,"",VLOOKUP(' '!B6,' '!$C$5:$O$8,7,0))</f>
        <v>5</v>
      </c>
      <c r="BO50" s="264"/>
      <c r="BP50" s="266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8"/>
      <c r="D51" s="298"/>
      <c r="E51" s="298"/>
      <c r="F51" s="298"/>
      <c r="G51" s="298"/>
      <c r="H51" s="298"/>
      <c r="I51" s="298"/>
      <c r="K51" s="365">
        <f>IF(' '!$L$9=0,"",IF(VLOOKUP(' '!B7,' '!$C$5:$E$8,3,0)=MAX(K$49:K50),"",' '!B7))</f>
        <v>3</v>
      </c>
      <c r="L51" s="366"/>
      <c r="M51" s="236" t="str">
        <f>IF(' '!$L$9=0,D21,VLOOKUP(' '!B7,' '!$C$5:$O$8,4,0))</f>
        <v>SV Sonsbeck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67" t="str">
        <f>IF(AND(M51&amp;$AH$41=VLOOKUP(M51&amp;$AH$41,' '!$D$23:$H$46,1,0),VLOOKUP(M51&amp;$AH$41,' '!$D$23:$H$46,4,0)&lt;&gt;""),VLOOKUP(M51&amp;$AH$41,' '!$D$23:$H$46,4,0),VLOOKUP(M51&amp;$AH$41,' '!$D$23:$H$46,5,0))</f>
        <v>0:3</v>
      </c>
      <c r="AI51" s="267"/>
      <c r="AJ51" s="273"/>
      <c r="AK51" s="264" t="str">
        <f>IF(AND(M51&amp;$AK$41=VLOOKUP(M51&amp;$AK$41,' '!$D$23:$H$46,1,0),VLOOKUP(M51&amp;$AK$41,' '!$D$23:$H$46,4,0)&lt;&gt;""),VLOOKUP(M51&amp;$AK$41,' '!$D$23:$H$46,4,0),VLOOKUP(M51&amp;$AK$41,' '!$D$23:$H$46,5,0))</f>
        <v>1:2</v>
      </c>
      <c r="AL51" s="264"/>
      <c r="AM51" s="264"/>
      <c r="AN51" s="265"/>
      <c r="AO51" s="265"/>
      <c r="AP51" s="265"/>
      <c r="AQ51" s="266" t="str">
        <f>IF(AND(M51&amp;$AQ$41=VLOOKUP(M51&amp;$AQ$41,' '!$D$23:$H$46,1,0),VLOOKUP(M51&amp;$AQ$41,' '!$D$23:$H$46,4,0)&lt;&gt;""),VLOOKUP(M51&amp;$AQ$41,' '!$D$23:$H$46,4,0),VLOOKUP(M51&amp;$AQ$41,' '!$D$23:$H$46,5,0))</f>
        <v>1:0</v>
      </c>
      <c r="AR51" s="267"/>
      <c r="AS51" s="267"/>
      <c r="AT51" s="267">
        <f>IF(' '!$L$9=0,"",VLOOKUP(' '!B7,' '!$C$5:$O$8,10,0))</f>
        <v>3</v>
      </c>
      <c r="AU51" s="267"/>
      <c r="AV51" s="273"/>
      <c r="AW51" s="264">
        <f>IF(' '!$L$9=0,"",VLOOKUP(' '!B7,' '!$C$5:$O$8,11,0))</f>
        <v>1</v>
      </c>
      <c r="AX51" s="264"/>
      <c r="AY51" s="264"/>
      <c r="AZ51" s="264">
        <f>IF(' '!$L$9=0,"",VLOOKUP(' '!B7,' '!$C$5:$O$8,12,0))</f>
        <v>0</v>
      </c>
      <c r="BA51" s="264"/>
      <c r="BB51" s="264"/>
      <c r="BC51" s="264">
        <f>IF(' '!$L$9=0,"",VLOOKUP(' '!B7,' '!$C$5:$O$8,13,0))</f>
        <v>2</v>
      </c>
      <c r="BD51" s="264"/>
      <c r="BE51" s="264"/>
      <c r="BF51" s="351">
        <f>IF(' '!$L$9=0,"",VLOOKUP(' '!B7,' '!$C$5:$O$8,5,0))</f>
        <v>2</v>
      </c>
      <c r="BG51" s="351"/>
      <c r="BH51" s="124" t="str">
        <f>IF(' '!$L$9=0,"",":")</f>
        <v>:</v>
      </c>
      <c r="BI51" s="347">
        <f>IF(' '!$L$9=0,"",VLOOKUP(' '!B7,' '!$C$5:$O$8,6,0))</f>
        <v>5</v>
      </c>
      <c r="BJ51" s="264"/>
      <c r="BK51" s="348">
        <f>IF(' '!$L$9=0,"",BF51-BI51)</f>
        <v>-3</v>
      </c>
      <c r="BL51" s="348"/>
      <c r="BM51" s="349"/>
      <c r="BN51" s="264">
        <f>IF(' '!$L$9=0,"",VLOOKUP(' '!B7,' '!$C$5:$O$8,7,0))</f>
        <v>3</v>
      </c>
      <c r="BO51" s="264"/>
      <c r="BP51" s="266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8"/>
      <c r="D52" s="298"/>
      <c r="E52" s="298"/>
      <c r="F52" s="298"/>
      <c r="G52" s="298"/>
      <c r="H52" s="298"/>
      <c r="I52" s="298"/>
      <c r="K52" s="362">
        <f>IF(' '!$L$9=0,"",IF(VLOOKUP(' '!B8,' '!$C$5:$E$8,3,0)=MAX(K$49:K51),"",' '!B8))</f>
        <v>4</v>
      </c>
      <c r="L52" s="363"/>
      <c r="M52" s="234" t="str">
        <f>IF(' '!$L$9=0,D22,VLOOKUP(' '!B8,' '!$C$5:$O$8,4,0))</f>
        <v>Weseler SV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76" t="str">
        <f>IF(AND(M52&amp;$AH$41=VLOOKUP(M52&amp;$AH$41,' '!$D$23:$H$46,1,0),VLOOKUP(M52&amp;$AH$41,' '!$D$23:$H$46,4,0)&lt;&gt;""),VLOOKUP(M52&amp;$AH$41,' '!$D$23:$H$46,4,0),VLOOKUP(M52&amp;$AH$41,' '!$D$23:$H$46,5,0))</f>
        <v>0:2</v>
      </c>
      <c r="AI52" s="276"/>
      <c r="AJ52" s="277"/>
      <c r="AK52" s="263" t="str">
        <f>IF(AND(M52&amp;$AK$41=VLOOKUP(M52&amp;$AK$41,' '!$D$23:$H$46,1,0),VLOOKUP(M52&amp;$AK$41,' '!$D$23:$H$46,4,0)&lt;&gt;""),VLOOKUP(M52&amp;$AK$41,' '!$D$23:$H$46,4,0),VLOOKUP(M52&amp;$AK$41,' '!$D$23:$H$46,5,0))</f>
        <v>0:0</v>
      </c>
      <c r="AL52" s="263"/>
      <c r="AM52" s="263"/>
      <c r="AN52" s="263" t="str">
        <f>IF(AND(M52&amp;$AN$41=VLOOKUP(M52&amp;$AN$41,' '!$D$23:$H$46,1,0),VLOOKUP(M52&amp;$AN$41,' '!$D$23:$H$46,4,0)&lt;&gt;""),VLOOKUP(M52&amp;$AN$41,' '!$D$23:$H$46,4,0),VLOOKUP(M52&amp;$AN$41,' '!$D$23:$H$46,5,0))</f>
        <v>0:1</v>
      </c>
      <c r="AO52" s="263"/>
      <c r="AP52" s="263"/>
      <c r="AQ52" s="268"/>
      <c r="AR52" s="269"/>
      <c r="AS52" s="269"/>
      <c r="AT52" s="276">
        <f>IF(' '!$L$9=0,"",VLOOKUP(' '!B8,' '!$C$5:$O$8,10,0))</f>
        <v>3</v>
      </c>
      <c r="AU52" s="276"/>
      <c r="AV52" s="277"/>
      <c r="AW52" s="263">
        <f>IF(' '!$L$9=0,"",VLOOKUP(' '!B8,' '!$C$5:$O$8,11,0))</f>
        <v>0</v>
      </c>
      <c r="AX52" s="263"/>
      <c r="AY52" s="263"/>
      <c r="AZ52" s="263">
        <f>IF(' '!$L$9=0,"",VLOOKUP(' '!B8,' '!$C$5:$O$8,12,0))</f>
        <v>1</v>
      </c>
      <c r="BA52" s="263"/>
      <c r="BB52" s="263"/>
      <c r="BC52" s="263">
        <f>IF(' '!$L$9=0,"",VLOOKUP(' '!B8,' '!$C$5:$O$8,13,0))</f>
        <v>2</v>
      </c>
      <c r="BD52" s="263"/>
      <c r="BE52" s="263"/>
      <c r="BF52" s="357">
        <f>IF(' '!$L$9=0,"",VLOOKUP(' '!B8,' '!$C$5:$O$8,5,0))</f>
        <v>0</v>
      </c>
      <c r="BG52" s="357"/>
      <c r="BH52" s="125" t="str">
        <f>IF(' '!$L$9=0,"",":")</f>
        <v>:</v>
      </c>
      <c r="BI52" s="358">
        <f>IF(' '!$L$9=0,"",VLOOKUP(' '!B8,' '!$C$5:$O$8,6,0))</f>
        <v>3</v>
      </c>
      <c r="BJ52" s="263"/>
      <c r="BK52" s="376">
        <f>IF(' '!$L$9=0,"",BF52-BI52)</f>
        <v>-3</v>
      </c>
      <c r="BL52" s="376"/>
      <c r="BM52" s="377"/>
      <c r="BN52" s="263">
        <f>IF(' '!$L$9=0,"",VLOOKUP(' '!B8,' '!$C$5:$O$8,7,0))</f>
        <v>1</v>
      </c>
      <c r="BO52" s="263"/>
      <c r="BP52" s="37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8" t="str">
        <f>M62</f>
        <v>DJK Lösort-Meiderich</v>
      </c>
      <c r="AI54" s="251"/>
      <c r="AJ54" s="251"/>
      <c r="AK54" s="251" t="str">
        <f>M63</f>
        <v>Fortuna Keppeln</v>
      </c>
      <c r="AL54" s="251"/>
      <c r="AM54" s="251"/>
      <c r="AN54" s="251" t="str">
        <f>M64</f>
        <v>GW Wesel-Flüren</v>
      </c>
      <c r="AO54" s="251"/>
      <c r="AP54" s="251"/>
      <c r="AQ54" s="251" t="str">
        <f>M65</f>
        <v>GW Vernum </v>
      </c>
      <c r="AR54" s="251"/>
      <c r="AS54" s="252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9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4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9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4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9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4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9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4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9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9" t="s">
        <v>16</v>
      </c>
      <c r="D60" s="300"/>
      <c r="E60" s="300"/>
      <c r="F60" s="300"/>
      <c r="G60" s="300"/>
      <c r="H60" s="300"/>
      <c r="I60" s="301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9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02" t="s">
        <v>17</v>
      </c>
      <c r="D61" s="303"/>
      <c r="E61" s="303"/>
      <c r="F61" s="304"/>
      <c r="G61" s="302" t="s">
        <v>18</v>
      </c>
      <c r="H61" s="303"/>
      <c r="I61" s="304"/>
      <c r="K61" s="387" t="str">
        <f>IF(' '!L18=0,AC18,IF(' '!B18&lt;&gt;' '!L18,"es liegen nicht alle Ergebnisse vor",AC18))</f>
        <v>Gruppe B</v>
      </c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9"/>
      <c r="AH61" s="280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6"/>
      <c r="AT61" s="367" t="s">
        <v>19</v>
      </c>
      <c r="AU61" s="355"/>
      <c r="AV61" s="355"/>
      <c r="AW61" s="355" t="s">
        <v>20</v>
      </c>
      <c r="AX61" s="355"/>
      <c r="AY61" s="355"/>
      <c r="AZ61" s="355" t="s">
        <v>21</v>
      </c>
      <c r="BA61" s="355"/>
      <c r="BB61" s="355"/>
      <c r="BC61" s="355" t="s">
        <v>22</v>
      </c>
      <c r="BD61" s="355"/>
      <c r="BE61" s="355"/>
      <c r="BF61" s="355" t="s">
        <v>23</v>
      </c>
      <c r="BG61" s="355"/>
      <c r="BH61" s="355"/>
      <c r="BI61" s="355"/>
      <c r="BJ61" s="355"/>
      <c r="BK61" s="355" t="s">
        <v>24</v>
      </c>
      <c r="BL61" s="355"/>
      <c r="BM61" s="378"/>
      <c r="BN61" s="355" t="s">
        <v>25</v>
      </c>
      <c r="BO61" s="355"/>
      <c r="BP61" s="37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8"/>
      <c r="D62" s="298"/>
      <c r="E62" s="298"/>
      <c r="F62" s="298"/>
      <c r="G62" s="298"/>
      <c r="H62" s="298"/>
      <c r="I62" s="298"/>
      <c r="K62" s="240">
        <f>IF(' '!$L$18=0,"",1)</f>
        <v>1</v>
      </c>
      <c r="L62" s="241"/>
      <c r="M62" s="238" t="str">
        <f>IF(' '!$L$18=0,AC19,VLOOKUP(' '!B14,' '!$C$14:$O$17,4,0))</f>
        <v>DJK Lösort-Meiderich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74"/>
      <c r="AI62" s="274"/>
      <c r="AJ62" s="275"/>
      <c r="AK62" s="272" t="str">
        <f>IF(AND(M62&amp;$AK$54=VLOOKUP(M62&amp;$AK$54,' '!$D$23:$H$46,1,0),VLOOKUP(M62&amp;$AK$54,' '!$D$23:$H$46,4,0)&lt;&gt;""),VLOOKUP(M62&amp;$AK$54,' '!$D$23:$H$46,4,0),VLOOKUP(M62&amp;$AK$54,' '!$D$23:$H$46,5,0))</f>
        <v>3:0</v>
      </c>
      <c r="AL62" s="272"/>
      <c r="AM62" s="272"/>
      <c r="AN62" s="272" t="str">
        <f>IF(AND(M62&amp;$AN$54=VLOOKUP(M62&amp;$AN$54,' '!$D$23:$H$46,1,0),VLOOKUP(M62&amp;$AN$54,' '!$D$23:$H$46,4,0)&lt;&gt;""),VLOOKUP(M62&amp;$AN$54,' '!$D$23:$H$46,4,0),VLOOKUP(M62&amp;$AN$54,' '!$D$23:$H$46,5,0))</f>
        <v>3:0</v>
      </c>
      <c r="AO62" s="272"/>
      <c r="AP62" s="272"/>
      <c r="AQ62" s="270" t="str">
        <f>IF(AND(M62&amp;$AQ$54=VLOOKUP(M62&amp;$AQ$54,' '!$D$23:$H$46,1,0),VLOOKUP(M62&amp;$AQ$54,' '!$D$23:$H$46,4,0)&lt;&gt;""),VLOOKUP(M62&amp;$AQ$54,' '!$D$23:$H$46,4,0),VLOOKUP(M62&amp;$AQ$54,' '!$D$23:$H$46,5,0))</f>
        <v>2:0</v>
      </c>
      <c r="AR62" s="271"/>
      <c r="AS62" s="271"/>
      <c r="AT62" s="271">
        <f>IF(' '!$L$18=0,"",VLOOKUP(' '!B14,' '!$C$14:$O$17,10,0))</f>
        <v>3</v>
      </c>
      <c r="AU62" s="271"/>
      <c r="AV62" s="364"/>
      <c r="AW62" s="359">
        <f>IF(' '!$L$18=0,"",VLOOKUP(' '!B14,' '!$C$14:$O$17,11,0))</f>
        <v>3</v>
      </c>
      <c r="AX62" s="360"/>
      <c r="AY62" s="361"/>
      <c r="AZ62" s="359">
        <f>IF(' '!$L$18=0,"",VLOOKUP(' '!B14,' '!$C$14:$O$17,12,0))</f>
        <v>0</v>
      </c>
      <c r="BA62" s="360"/>
      <c r="BB62" s="361"/>
      <c r="BC62" s="359">
        <f>IF(' '!$L$18=0,"",VLOOKUP(' '!B14,' '!$C$14:$O$17,13,0))</f>
        <v>0</v>
      </c>
      <c r="BD62" s="360"/>
      <c r="BE62" s="361"/>
      <c r="BF62" s="360">
        <f>IF(' '!$L$18=0,"",VLOOKUP(' '!B14,' '!$C$14:$O$17,5,0))</f>
        <v>8</v>
      </c>
      <c r="BG62" s="360"/>
      <c r="BH62" s="123" t="str">
        <f>IF(' '!$L$18=0,"",":")</f>
        <v>:</v>
      </c>
      <c r="BI62" s="361">
        <f>IF(' '!$L$18=0,"",VLOOKUP(' '!B14,' '!$C$14:$O$17,6,0))</f>
        <v>0</v>
      </c>
      <c r="BJ62" s="272"/>
      <c r="BK62" s="372">
        <f>IF(' '!$L$18=0,"",BF62-BI62)</f>
        <v>8</v>
      </c>
      <c r="BL62" s="372"/>
      <c r="BM62" s="373"/>
      <c r="BN62" s="359">
        <f>IF(' '!$L$18=0,"",VLOOKUP(' '!B14,' '!$C$14:$O$17,7,0))</f>
        <v>9</v>
      </c>
      <c r="BO62" s="360"/>
      <c r="BP62" s="368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8"/>
      <c r="D63" s="298"/>
      <c r="E63" s="298"/>
      <c r="F63" s="298"/>
      <c r="G63" s="298"/>
      <c r="H63" s="298"/>
      <c r="I63" s="298"/>
      <c r="J63" s="21"/>
      <c r="K63" s="365">
        <f>IF(' '!$L$18=0,"",IF(VLOOKUP(' '!B15,' '!$C$14:$E$17,3,0)=MAX(K$62:K62),"",' '!B15))</f>
        <v>2</v>
      </c>
      <c r="L63" s="366"/>
      <c r="M63" s="236" t="str">
        <f>IF(' '!$L$18=0,AC20,VLOOKUP(' '!B15,' '!$C$14:$O$17,4,0))</f>
        <v>Fortuna Keppeln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67" t="str">
        <f>IF(AND(M63&amp;$AH$54=VLOOKUP(M63&amp;$AH$54,' '!$D$23:$H$46,1,0),VLOOKUP(M63&amp;$AH$54,' '!$D$23:$H$46,4,0)&lt;&gt;""),VLOOKUP(M63&amp;$AH$54,' '!$D$23:$H$46,4,0),VLOOKUP(M63&amp;$AH$54,' '!$D$23:$H$46,5,0))</f>
        <v>0:3</v>
      </c>
      <c r="AI63" s="267"/>
      <c r="AJ63" s="273"/>
      <c r="AK63" s="265"/>
      <c r="AL63" s="265"/>
      <c r="AM63" s="265"/>
      <c r="AN63" s="264" t="str">
        <f>IF(AND(M63&amp;$AN$54=VLOOKUP(M63&amp;$AN$54,' '!$D$23:$H$46,1,0),VLOOKUP(M63&amp;$AN$54,' '!$D$23:$H$46,4,0)&lt;&gt;""),VLOOKUP(M63&amp;$AN$54,' '!$D$23:$H$46,4,0),VLOOKUP(M63&amp;$AN$54,' '!$D$23:$H$46,5,0))</f>
        <v>1:0</v>
      </c>
      <c r="AO63" s="264"/>
      <c r="AP63" s="264"/>
      <c r="AQ63" s="266" t="str">
        <f>IF(AND(M63&amp;$AQ$54=VLOOKUP(M63&amp;$AQ$54,' '!$D$23:$H$46,1,0),VLOOKUP(M63&amp;$AQ$54,' '!$D$23:$H$46,4,0)&lt;&gt;""),VLOOKUP(M63&amp;$AQ$54,' '!$D$23:$H$46,4,0),VLOOKUP(M63&amp;$AQ$54,' '!$D$23:$H$46,5,0))</f>
        <v>2:0</v>
      </c>
      <c r="AR63" s="267"/>
      <c r="AS63" s="267"/>
      <c r="AT63" s="267">
        <f>IF(' '!$L$18=0,"",VLOOKUP(' '!B15,' '!$C$14:$O$17,10,0))</f>
        <v>3</v>
      </c>
      <c r="AU63" s="267"/>
      <c r="AV63" s="273"/>
      <c r="AW63" s="350">
        <f>IF(' '!$L$18=0,"",VLOOKUP(' '!B15,' '!$C$14:$O$17,11,0))</f>
        <v>2</v>
      </c>
      <c r="AX63" s="351"/>
      <c r="AY63" s="347"/>
      <c r="AZ63" s="350">
        <f>IF(' '!$L$18=0,"",VLOOKUP(' '!B15,' '!$C$14:$O$17,12,0))</f>
        <v>0</v>
      </c>
      <c r="BA63" s="351"/>
      <c r="BB63" s="347"/>
      <c r="BC63" s="350">
        <f>IF(' '!$L$18=0,"",VLOOKUP(' '!B15,' '!$C$14:$O$17,13,0))</f>
        <v>1</v>
      </c>
      <c r="BD63" s="351"/>
      <c r="BE63" s="347"/>
      <c r="BF63" s="351">
        <f>IF(' '!$L$18=0,"",VLOOKUP(' '!B15,' '!$C$14:$O$17,5,0))</f>
        <v>3</v>
      </c>
      <c r="BG63" s="351"/>
      <c r="BH63" s="124" t="str">
        <f>IF(' '!$L$18=0,"",":")</f>
        <v>:</v>
      </c>
      <c r="BI63" s="347">
        <f>IF(' '!$L$18=0,"",VLOOKUP(' '!B15,' '!$C$14:$O$17,6,0))</f>
        <v>3</v>
      </c>
      <c r="BJ63" s="264"/>
      <c r="BK63" s="348">
        <f>IF(' '!$L$18=0,"",BF63-BI63)</f>
        <v>0</v>
      </c>
      <c r="BL63" s="348"/>
      <c r="BM63" s="349"/>
      <c r="BN63" s="350">
        <f>IF(' '!$L$18=0,"",VLOOKUP(' '!B15,' '!$C$14:$O$17,7,0))</f>
        <v>6</v>
      </c>
      <c r="BO63" s="351"/>
      <c r="BP63" s="38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8"/>
      <c r="D64" s="298"/>
      <c r="E64" s="298"/>
      <c r="F64" s="298"/>
      <c r="G64" s="298"/>
      <c r="H64" s="298"/>
      <c r="I64" s="298"/>
      <c r="K64" s="365">
        <f>IF(' '!$L$18=0,"",IF(VLOOKUP(' '!B16,' '!$C$14:$E$17,3,0)=MAX(K$62:K63),"",' '!B16))</f>
        <v>3</v>
      </c>
      <c r="L64" s="366"/>
      <c r="M64" s="236" t="str">
        <f>IF(' '!$L$18=0,AC21,VLOOKUP(' '!B16,' '!$C$14:$O$17,4,0))</f>
        <v>GW Wesel-Flüren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67" t="str">
        <f>IF(AND(M64&amp;$AH$54=VLOOKUP(M64&amp;$AH$54,' '!$D$23:$H$46,1,0),VLOOKUP(M64&amp;$AH$54,' '!$D$23:$H$46,4,0)&lt;&gt;""),VLOOKUP(M64&amp;$AH$54,' '!$D$23:$H$46,4,0),VLOOKUP(M64&amp;$AH$54,' '!$D$23:$H$46,5,0))</f>
        <v>0:3</v>
      </c>
      <c r="AI64" s="267"/>
      <c r="AJ64" s="273"/>
      <c r="AK64" s="264" t="str">
        <f>IF(AND(M64&amp;$AK$54=VLOOKUP(M64&amp;$AK$54,' '!$D$23:$H$46,1,0),VLOOKUP(M64&amp;$AK$54,' '!$D$23:$H$46,4,0)&lt;&gt;""),VLOOKUP(M64&amp;$AK$54,' '!$D$23:$H$46,4,0),VLOOKUP(M64&amp;$AK$54,' '!$D$23:$H$46,5,0))</f>
        <v>0:1</v>
      </c>
      <c r="AL64" s="264"/>
      <c r="AM64" s="264"/>
      <c r="AN64" s="265"/>
      <c r="AO64" s="265"/>
      <c r="AP64" s="265"/>
      <c r="AQ64" s="266" t="str">
        <f>IF(AND(M64&amp;$AQ$54=VLOOKUP(M64&amp;$AQ$54,' '!$D$23:$H$46,1,0),VLOOKUP(M64&amp;$AQ$54,' '!$D$23:$H$46,4,0)&lt;&gt;""),VLOOKUP(M64&amp;$AQ$54,' '!$D$23:$H$46,4,0),VLOOKUP(M64&amp;$AQ$54,' '!$D$23:$H$46,5,0))</f>
        <v>1:0</v>
      </c>
      <c r="AR64" s="267"/>
      <c r="AS64" s="267"/>
      <c r="AT64" s="267">
        <f>IF(' '!$L$18=0,"",VLOOKUP(' '!B16,' '!$C$14:$O$17,10,0))</f>
        <v>3</v>
      </c>
      <c r="AU64" s="267"/>
      <c r="AV64" s="273"/>
      <c r="AW64" s="350">
        <f>IF(' '!$L$18=0,"",VLOOKUP(' '!B16,' '!$C$14:$O$17,11,0))</f>
        <v>1</v>
      </c>
      <c r="AX64" s="351"/>
      <c r="AY64" s="347"/>
      <c r="AZ64" s="350">
        <f>IF(' '!$L$18=0,"",VLOOKUP(' '!B16,' '!$C$14:$O$17,12,0))</f>
        <v>0</v>
      </c>
      <c r="BA64" s="351"/>
      <c r="BB64" s="347"/>
      <c r="BC64" s="350">
        <f>IF(' '!$L$18=0,"",VLOOKUP(' '!B16,' '!$C$14:$O$17,13,0))</f>
        <v>2</v>
      </c>
      <c r="BD64" s="351"/>
      <c r="BE64" s="347"/>
      <c r="BF64" s="351">
        <f>IF(' '!$L$18=0,"",VLOOKUP(' '!B16,' '!$C$14:$O$17,5,0))</f>
        <v>1</v>
      </c>
      <c r="BG64" s="351"/>
      <c r="BH64" s="124" t="str">
        <f>IF(' '!$L$18=0,"",":")</f>
        <v>:</v>
      </c>
      <c r="BI64" s="347">
        <f>IF(' '!$L$18=0,"",VLOOKUP(' '!B16,' '!$C$14:$O$17,6,0))</f>
        <v>4</v>
      </c>
      <c r="BJ64" s="264"/>
      <c r="BK64" s="348">
        <f>IF(' '!$L$18=0,"",BF64-BI64)</f>
        <v>-3</v>
      </c>
      <c r="BL64" s="348"/>
      <c r="BM64" s="349"/>
      <c r="BN64" s="350">
        <f>IF(' '!$L$18=0,"",VLOOKUP(' '!B16,' '!$C$14:$O$17,7,0))</f>
        <v>3</v>
      </c>
      <c r="BO64" s="351"/>
      <c r="BP64" s="38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8"/>
      <c r="D65" s="298"/>
      <c r="E65" s="298"/>
      <c r="F65" s="298"/>
      <c r="G65" s="298"/>
      <c r="H65" s="298"/>
      <c r="I65" s="298"/>
      <c r="K65" s="362">
        <f>IF(' '!$L$18=0,"",IF(VLOOKUP(' '!B17,' '!$C$14:$E$17,3,0)=MAX(K$62:K64),"",' '!B17))</f>
        <v>4</v>
      </c>
      <c r="L65" s="363"/>
      <c r="M65" s="234" t="str">
        <f>IF(' '!$L$18=0,AC22,VLOOKUP(' '!B17,' '!$C$14:$O$17,4,0))</f>
        <v>GW Vernum 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76" t="str">
        <f>IF(AND(M65&amp;$AH$54=VLOOKUP(M65&amp;$AH$54,' '!$D$23:$H$46,1,0),VLOOKUP(M65&amp;$AH$54,' '!$D$23:$H$46,4,0)&lt;&gt;""),VLOOKUP(M65&amp;$AH$54,' '!$D$23:$H$46,4,0),VLOOKUP(M65&amp;$AH$54,' '!$D$23:$H$46,5,0))</f>
        <v>0:2</v>
      </c>
      <c r="AI65" s="276"/>
      <c r="AJ65" s="277"/>
      <c r="AK65" s="263" t="str">
        <f>IF(AND(M65&amp;$AK$54=VLOOKUP(M65&amp;$AK$54,' '!$D$23:$H$46,1,0),VLOOKUP(M65&amp;$AK$54,' '!$D$23:$H$46,4,0)&lt;&gt;""),VLOOKUP(M65&amp;$AK$54,' '!$D$23:$H$46,4,0),VLOOKUP(M65&amp;$AK$54,' '!$D$23:$H$46,5,0))</f>
        <v>0:2</v>
      </c>
      <c r="AL65" s="263"/>
      <c r="AM65" s="263"/>
      <c r="AN65" s="263" t="str">
        <f>IF(AND(M65&amp;$AN$54=VLOOKUP(M65&amp;$AN$54,' '!$D$23:$H$46,1,0),VLOOKUP(M65&amp;$AN$54,' '!$D$23:$H$46,4,0)&lt;&gt;""),VLOOKUP(M65&amp;$AN$54,' '!$D$23:$H$46,4,0),VLOOKUP(M65&amp;$AN$54,' '!$D$23:$H$46,5,0))</f>
        <v>0:1</v>
      </c>
      <c r="AO65" s="263"/>
      <c r="AP65" s="263"/>
      <c r="AQ65" s="268"/>
      <c r="AR65" s="269"/>
      <c r="AS65" s="269"/>
      <c r="AT65" s="276">
        <f>IF(' '!$L$18=0,"",VLOOKUP(' '!B17,' '!$C$14:$O$17,10,0))</f>
        <v>3</v>
      </c>
      <c r="AU65" s="276"/>
      <c r="AV65" s="277"/>
      <c r="AW65" s="356">
        <f>IF(' '!$L$18=0,"",VLOOKUP(' '!B17,' '!$C$14:$O$17,11,0))</f>
        <v>0</v>
      </c>
      <c r="AX65" s="357"/>
      <c r="AY65" s="358"/>
      <c r="AZ65" s="356">
        <f>IF(' '!$L$18=0,"",VLOOKUP(' '!B17,' '!$C$14:$O$17,12,0))</f>
        <v>0</v>
      </c>
      <c r="BA65" s="357"/>
      <c r="BB65" s="358"/>
      <c r="BC65" s="356">
        <f>IF(' '!$L$18=0,"",VLOOKUP(' '!B17,' '!$C$14:$O$17,13,0))</f>
        <v>3</v>
      </c>
      <c r="BD65" s="357"/>
      <c r="BE65" s="358"/>
      <c r="BF65" s="354">
        <f>IF(' '!$L$18=0,"",VLOOKUP(' '!B17,' '!$C$14:$O$17,5,0))</f>
        <v>0</v>
      </c>
      <c r="BG65" s="354"/>
      <c r="BH65" s="137" t="str">
        <f>IF(' '!$L$18=0,"",":")</f>
        <v>:</v>
      </c>
      <c r="BI65" s="352">
        <f>IF(' '!$L$18=0,"",VLOOKUP(' '!B17,' '!$C$14:$O$17,6,0))</f>
        <v>5</v>
      </c>
      <c r="BJ65" s="353"/>
      <c r="BK65" s="345">
        <f>IF(' '!$L$18=0,"",BF65-BI65)</f>
        <v>-5</v>
      </c>
      <c r="BL65" s="345"/>
      <c r="BM65" s="346"/>
      <c r="BN65" s="356">
        <f>IF(' '!$L$18=0,"",VLOOKUP(' '!B17,' '!$C$14:$O$17,7,0))</f>
        <v>0</v>
      </c>
      <c r="BO65" s="357"/>
      <c r="BP65" s="379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8" t="s">
        <v>62</v>
      </c>
      <c r="C70" s="328"/>
      <c r="D70" s="328"/>
      <c r="E70" s="328"/>
      <c r="F70" s="328"/>
      <c r="G70" s="328"/>
      <c r="H70" s="333">
        <f>H38+TEXT(2*$U$11*($X$11/1440)+($AI$11/1440)+($AW$11/1440),"hh:mm")</f>
        <v>0.8416666666666663</v>
      </c>
      <c r="I70" s="333"/>
      <c r="J70" s="333"/>
      <c r="K70" s="333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1">
        <f>U14</f>
        <v>1</v>
      </c>
      <c r="V70" s="341"/>
      <c r="W70" s="134" t="s">
        <v>2</v>
      </c>
      <c r="X70" s="419">
        <f>X11</f>
        <v>12</v>
      </c>
      <c r="Y70" s="419"/>
      <c r="Z70" s="419"/>
      <c r="AA70" s="419"/>
      <c r="AB70" s="419"/>
      <c r="AC70" s="420">
        <f>AC14</f>
      </c>
      <c r="AD70" s="420"/>
      <c r="AE70" s="420"/>
      <c r="AF70" s="420"/>
      <c r="AG70" s="420"/>
      <c r="AH70" s="420"/>
      <c r="AI70" s="400">
        <f>IF(AI14="","",AI14)</f>
        <v>0</v>
      </c>
      <c r="AJ70" s="400"/>
      <c r="AK70" s="400"/>
      <c r="AL70" s="400"/>
      <c r="AM70" s="400"/>
      <c r="AN70" s="328" t="s">
        <v>3</v>
      </c>
      <c r="AO70" s="328"/>
      <c r="AP70" s="328"/>
      <c r="AQ70" s="328"/>
      <c r="AR70" s="328"/>
      <c r="AS70" s="328"/>
      <c r="AT70" s="328"/>
      <c r="AU70" s="328"/>
      <c r="AV70" s="328"/>
      <c r="AW70" s="334">
        <f>AW14</f>
        <v>3</v>
      </c>
      <c r="AX70" s="334"/>
      <c r="AY70" s="334"/>
      <c r="AZ70" s="334"/>
      <c r="BA70" s="334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3" t="s">
        <v>9</v>
      </c>
      <c r="D72" s="229"/>
      <c r="E72" s="229" t="s">
        <v>63</v>
      </c>
      <c r="F72" s="229"/>
      <c r="G72" s="229"/>
      <c r="H72" s="229"/>
      <c r="I72" s="230" t="s">
        <v>27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395"/>
      <c r="AZ72" s="229" t="s">
        <v>12</v>
      </c>
      <c r="BA72" s="229"/>
      <c r="BB72" s="229"/>
      <c r="BC72" s="229"/>
      <c r="BD72" s="230"/>
      <c r="BE72" s="217"/>
      <c r="BF72" s="218"/>
      <c r="BG72" s="218"/>
      <c r="BH72" s="219"/>
    </row>
    <row r="73" spans="2:60" ht="18" customHeight="1">
      <c r="B73" s="22"/>
      <c r="C73" s="317">
        <v>13</v>
      </c>
      <c r="D73" s="318"/>
      <c r="E73" s="396">
        <f>$H$14</f>
        <v>0.8416666666666663</v>
      </c>
      <c r="F73" s="396"/>
      <c r="G73" s="396"/>
      <c r="H73" s="396"/>
      <c r="I73" s="316" t="str">
        <f>IF(OR(' '!L9=0,' '!B9&lt;&gt;SUM(AT49:AV52)),"",IF(OR(G49=1,G50=1,G51=1,G52=1),VLOOKUP(SMALL($G$49:$I$52,1),$G$49:$AG$52,7,0),IF(AND(SUM(AT49:AV52)=' '!B9,' '!E9=1),M49,"1. Platz Gruppe A nicht eindeutig")))</f>
        <v>SV Walbeck</v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136" t="s">
        <v>14</v>
      </c>
      <c r="AE73" s="288" t="str">
        <f>IF(OR(' '!L18=0,' '!B18&lt;&gt;SUM(AT62:AV65)),"",IF(OR(G62=2,G63=2,G64=2,G65=2),VLOOKUP(SMALL($G$62:$I$65,2),$G$62:$AG$65,7,0),IF(AND(SUM(AT62:AV65)=' '!B18,' '!E19=1),M63,"2. Platz Gruppe B nicht eindeutig")))</f>
        <v>Fortuna Keppeln</v>
      </c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9"/>
      <c r="AZ73" s="386">
        <v>1</v>
      </c>
      <c r="BA73" s="386"/>
      <c r="BB73" s="307"/>
      <c r="BC73" s="310">
        <v>0</v>
      </c>
      <c r="BD73" s="310"/>
      <c r="BE73" s="214" t="s">
        <v>58</v>
      </c>
      <c r="BF73" s="215"/>
      <c r="BG73" s="215"/>
      <c r="BH73" s="216"/>
    </row>
    <row r="74" spans="2:60" ht="15.75" thickBot="1">
      <c r="B74" s="22"/>
      <c r="C74" s="319"/>
      <c r="D74" s="320"/>
      <c r="E74" s="397"/>
      <c r="F74" s="397"/>
      <c r="G74" s="397"/>
      <c r="H74" s="397"/>
      <c r="I74" s="313" t="s">
        <v>28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138"/>
      <c r="AE74" s="314" t="s">
        <v>29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5"/>
      <c r="AZ74" s="381"/>
      <c r="BA74" s="381"/>
      <c r="BB74" s="381"/>
      <c r="BC74" s="381"/>
      <c r="BD74" s="382"/>
      <c r="BE74" s="220"/>
      <c r="BF74" s="221"/>
      <c r="BG74" s="221"/>
      <c r="BH74" s="222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3" t="s">
        <v>9</v>
      </c>
      <c r="D76" s="229"/>
      <c r="E76" s="229" t="s">
        <v>63</v>
      </c>
      <c r="F76" s="229"/>
      <c r="G76" s="229"/>
      <c r="H76" s="229"/>
      <c r="I76" s="230" t="s">
        <v>30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395"/>
      <c r="AZ76" s="229" t="s">
        <v>12</v>
      </c>
      <c r="BA76" s="229"/>
      <c r="BB76" s="229"/>
      <c r="BC76" s="229"/>
      <c r="BD76" s="230"/>
      <c r="BE76" s="217"/>
      <c r="BF76" s="218"/>
      <c r="BG76" s="218"/>
      <c r="BH76" s="219"/>
    </row>
    <row r="77" spans="2:60" ht="18" customHeight="1">
      <c r="B77" s="22"/>
      <c r="C77" s="317">
        <v>14</v>
      </c>
      <c r="D77" s="318"/>
      <c r="E77" s="396">
        <f>E73+TEXT($U$14*($X$14/1440)+($AI$14/1440)+($AW$14/1440),"hh:mm")</f>
        <v>0.852083333333333</v>
      </c>
      <c r="F77" s="396"/>
      <c r="G77" s="396"/>
      <c r="H77" s="396"/>
      <c r="I77" s="316" t="str">
        <f>IF(OR(' '!L18=0,' '!B18&lt;&gt;SUM(AT62:AV65)),"",IF(OR(G62=1,G63=1,G64=1,G65=1),VLOOKUP(SMALL($G$62:$I$65,1),$G$62:$AG$65,7,0),IF(AND(SUM(AT62:AV65)=' '!B18,' '!E18=1),M62,"1. Platz Gruppe B nicht eindeutig")))</f>
        <v>DJK Lösort-Meiderich</v>
      </c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136" t="s">
        <v>14</v>
      </c>
      <c r="AE77" s="288" t="str">
        <f>IF(OR(' '!L9=0,' '!B9&lt;&gt;SUM(AT49:AV52)),"",IF(OR(G49=2,G50=2,G51=2,G52=2),VLOOKUP(SMALL($G$49:$I$52,2),$G$49:$AG$52,7,0),IF(AND(SUM(AT49:AV52)=' '!B9,' '!E10=1),M50,"2. Platz Gruppe A nicht eindeutig")))</f>
        <v>SV Veert</v>
      </c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9"/>
      <c r="AZ77" s="386">
        <v>0</v>
      </c>
      <c r="BA77" s="386"/>
      <c r="BB77" s="307"/>
      <c r="BC77" s="310">
        <v>1</v>
      </c>
      <c r="BD77" s="310"/>
      <c r="BE77" s="214" t="s">
        <v>58</v>
      </c>
      <c r="BF77" s="215"/>
      <c r="BG77" s="215"/>
      <c r="BH77" s="216"/>
    </row>
    <row r="78" spans="2:60" ht="15.75" thickBot="1">
      <c r="B78" s="22"/>
      <c r="C78" s="319"/>
      <c r="D78" s="320"/>
      <c r="E78" s="397"/>
      <c r="F78" s="397"/>
      <c r="G78" s="397"/>
      <c r="H78" s="397"/>
      <c r="I78" s="313" t="s">
        <v>31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138"/>
      <c r="AE78" s="314" t="s">
        <v>32</v>
      </c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5"/>
      <c r="AZ78" s="381"/>
      <c r="BA78" s="381"/>
      <c r="BB78" s="381"/>
      <c r="BC78" s="381"/>
      <c r="BD78" s="382"/>
      <c r="BE78" s="220"/>
      <c r="BF78" s="221"/>
      <c r="BG78" s="221"/>
      <c r="BH78" s="222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4" t="s">
        <v>9</v>
      </c>
      <c r="D80" s="312"/>
      <c r="E80" s="312" t="s">
        <v>63</v>
      </c>
      <c r="F80" s="312"/>
      <c r="G80" s="312"/>
      <c r="H80" s="312"/>
      <c r="I80" s="383" t="s">
        <v>33</v>
      </c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5"/>
      <c r="AZ80" s="312" t="s">
        <v>12</v>
      </c>
      <c r="BA80" s="312"/>
      <c r="BB80" s="312"/>
      <c r="BC80" s="312"/>
      <c r="BD80" s="383"/>
      <c r="BE80" s="390"/>
      <c r="BF80" s="384"/>
      <c r="BG80" s="384"/>
      <c r="BH80" s="391"/>
    </row>
    <row r="81" spans="2:60" ht="18" customHeight="1">
      <c r="B81" s="22"/>
      <c r="C81" s="317">
        <v>15</v>
      </c>
      <c r="D81" s="318"/>
      <c r="E81" s="396">
        <f>E77+TEXT($U$14*($X$14/1440)+($AI$14/1440)+($AW$14/1440),"hh:mm")</f>
        <v>0.8624999999999996</v>
      </c>
      <c r="F81" s="396"/>
      <c r="G81" s="396"/>
      <c r="H81" s="396"/>
      <c r="I81" s="316" t="str">
        <f>IF(OR(' '!L9=0,' '!B9&lt;&gt;SUM(AT49:AV52)),"",IF(OR(G49=4,G50=4,G51=4,G52=4),VLOOKUP(SMALL($G$49:$I$52,4),$G$49:$AG$52,7,0),IF(AND(SUM(AT49:AV52)=' '!B9,' '!E12=1),M52,"4. Platz Gruppe A nicht eindeutig")))</f>
        <v>Weseler SV</v>
      </c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136" t="s">
        <v>14</v>
      </c>
      <c r="AE81" s="288" t="str">
        <f>IF(OR(' '!L18=0,' '!B18&lt;&gt;SUM(AT62:AV65)),"",IF(OR(G62=4,G63=4,G64=4,G65=4),VLOOKUP(SMALL($G$62:$I$65,4),$G$62:$AG$65,7,0),IF(AND(SUM(AT62:AV65)=' '!B18,' '!E21=1),M65,"4. Platz Gruppe B nicht eindeutig")))</f>
        <v>GW Vernum </v>
      </c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9"/>
      <c r="AZ81" s="386">
        <v>3</v>
      </c>
      <c r="BA81" s="386"/>
      <c r="BB81" s="307"/>
      <c r="BC81" s="310">
        <v>4</v>
      </c>
      <c r="BD81" s="310"/>
      <c r="BE81" s="214" t="s">
        <v>58</v>
      </c>
      <c r="BF81" s="215"/>
      <c r="BG81" s="215"/>
      <c r="BH81" s="216"/>
    </row>
    <row r="82" spans="2:60" ht="15.75" thickBot="1">
      <c r="B82" s="22"/>
      <c r="C82" s="319"/>
      <c r="D82" s="320"/>
      <c r="E82" s="397"/>
      <c r="F82" s="397"/>
      <c r="G82" s="397"/>
      <c r="H82" s="397"/>
      <c r="I82" s="313" t="s">
        <v>34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138"/>
      <c r="AE82" s="314" t="s">
        <v>35</v>
      </c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5"/>
      <c r="AZ82" s="381"/>
      <c r="BA82" s="381"/>
      <c r="BB82" s="381"/>
      <c r="BC82" s="381"/>
      <c r="BD82" s="382"/>
      <c r="BE82" s="220"/>
      <c r="BF82" s="221"/>
      <c r="BG82" s="221"/>
      <c r="BH82" s="222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4" t="s">
        <v>9</v>
      </c>
      <c r="D84" s="312"/>
      <c r="E84" s="312" t="s">
        <v>63</v>
      </c>
      <c r="F84" s="312"/>
      <c r="G84" s="312"/>
      <c r="H84" s="312"/>
      <c r="I84" s="383" t="s">
        <v>36</v>
      </c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5"/>
      <c r="AZ84" s="312" t="s">
        <v>12</v>
      </c>
      <c r="BA84" s="312"/>
      <c r="BB84" s="312"/>
      <c r="BC84" s="312"/>
      <c r="BD84" s="383"/>
      <c r="BE84" s="390"/>
      <c r="BF84" s="384"/>
      <c r="BG84" s="384"/>
      <c r="BH84" s="391"/>
    </row>
    <row r="85" spans="2:86" s="36" customFormat="1" ht="18" customHeight="1">
      <c r="B85" s="22"/>
      <c r="C85" s="317">
        <v>16</v>
      </c>
      <c r="D85" s="318"/>
      <c r="E85" s="396">
        <f>E81+TEXT($U$14*($X$14/1440)+($AI$14/1440)+($AW$14/1440),"hh:mm")</f>
        <v>0.8729166666666662</v>
      </c>
      <c r="F85" s="396"/>
      <c r="G85" s="396"/>
      <c r="H85" s="396"/>
      <c r="I85" s="316" t="str">
        <f>IF(OR(' '!L9=0,' '!B9&lt;&gt;SUM(AT49:AV52)),"",IF(OR(G49=3,G50=3,G51=3,G52=3),VLOOKUP(SMALL($G$49:$I$52,3),$G$49:$AG$52,7,0),IF(AND(SUM(AT49:AV52)=' '!B9,' '!E11=1),M51,"3. Platz Gruppe A nicht eindeutig")))</f>
        <v>SV Sonsbeck</v>
      </c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136" t="s">
        <v>14</v>
      </c>
      <c r="AE85" s="288" t="str">
        <f>IF(OR(' '!L18=0,' '!B18&lt;&gt;SUM(AT62:AV65)),"",IF(OR(G62=3,G63=3,G64=3,G65=3),VLOOKUP(SMALL($G$62:$I$65,3),$G$62:$AG$65,7,0),IF(AND(SUM(AT62:AV65)=' '!B18,' '!E20=1),M64,"3. Platz Gruppe B nicht eindeutig")))</f>
        <v>GW Wesel-Flüren</v>
      </c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9"/>
      <c r="AZ85" s="386">
        <v>2</v>
      </c>
      <c r="BA85" s="386"/>
      <c r="BB85" s="307"/>
      <c r="BC85" s="310">
        <v>3</v>
      </c>
      <c r="BD85" s="310"/>
      <c r="BE85" s="214" t="s">
        <v>58</v>
      </c>
      <c r="BF85" s="215"/>
      <c r="BG85" s="215"/>
      <c r="BH85" s="21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9"/>
      <c r="D86" s="320"/>
      <c r="E86" s="397"/>
      <c r="F86" s="397"/>
      <c r="G86" s="397"/>
      <c r="H86" s="397"/>
      <c r="I86" s="313" t="s">
        <v>37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138"/>
      <c r="AE86" s="314" t="s">
        <v>38</v>
      </c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5"/>
      <c r="AZ86" s="381"/>
      <c r="BA86" s="381"/>
      <c r="BB86" s="381"/>
      <c r="BC86" s="381"/>
      <c r="BD86" s="382"/>
      <c r="BE86" s="220"/>
      <c r="BF86" s="221"/>
      <c r="BG86" s="221"/>
      <c r="BH86" s="222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1" t="s">
        <v>9</v>
      </c>
      <c r="D88" s="322"/>
      <c r="E88" s="322" t="s">
        <v>63</v>
      </c>
      <c r="F88" s="322"/>
      <c r="G88" s="322"/>
      <c r="H88" s="322"/>
      <c r="I88" s="398" t="s">
        <v>39</v>
      </c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9"/>
      <c r="AZ88" s="322" t="s">
        <v>12</v>
      </c>
      <c r="BA88" s="322"/>
      <c r="BB88" s="322"/>
      <c r="BC88" s="322"/>
      <c r="BD88" s="398"/>
      <c r="BE88" s="392"/>
      <c r="BF88" s="393"/>
      <c r="BG88" s="393"/>
      <c r="BH88" s="394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7">
        <v>17</v>
      </c>
      <c r="D89" s="318"/>
      <c r="E89" s="396">
        <f>E85+TEXT($U$14*($X$14/1440)+($AI$14/1440)+($AW$14/1440),"hh:mm")</f>
        <v>0.8833333333333329</v>
      </c>
      <c r="F89" s="396"/>
      <c r="G89" s="396"/>
      <c r="H89" s="396"/>
      <c r="I89" s="316" t="str">
        <f>IF(ISBLANK(AZ73)," ",IF(AZ73&lt;BC73,I73,IF(AZ73&lt;BC73,AE73,AE73)))</f>
        <v>Fortuna Keppeln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136" t="s">
        <v>14</v>
      </c>
      <c r="AE89" s="288" t="str">
        <f>IF(ISBLANK(AZ77)," ",IF(AZ77&lt;BC77,I77,IF(AZ77&lt;BC77,AE77,AE77)))</f>
        <v>DJK Lösort-Meiderich</v>
      </c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9"/>
      <c r="AZ89" s="386">
        <v>1</v>
      </c>
      <c r="BA89" s="386"/>
      <c r="BB89" s="307"/>
      <c r="BC89" s="310">
        <v>0</v>
      </c>
      <c r="BD89" s="310"/>
      <c r="BE89" s="214"/>
      <c r="BF89" s="215"/>
      <c r="BG89" s="215"/>
      <c r="BH89" s="216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9"/>
      <c r="D90" s="320"/>
      <c r="E90" s="397"/>
      <c r="F90" s="397"/>
      <c r="G90" s="397"/>
      <c r="H90" s="397"/>
      <c r="I90" s="313" t="s">
        <v>40</v>
      </c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138"/>
      <c r="AE90" s="314" t="s">
        <v>41</v>
      </c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5"/>
      <c r="AZ90" s="381"/>
      <c r="BA90" s="381"/>
      <c r="BB90" s="381"/>
      <c r="BC90" s="381"/>
      <c r="BD90" s="382"/>
      <c r="BE90" s="220"/>
      <c r="BF90" s="221"/>
      <c r="BG90" s="221"/>
      <c r="BH90" s="222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1" t="s">
        <v>9</v>
      </c>
      <c r="D92" s="322"/>
      <c r="E92" s="322" t="s">
        <v>63</v>
      </c>
      <c r="F92" s="322"/>
      <c r="G92" s="322"/>
      <c r="H92" s="322"/>
      <c r="I92" s="398" t="s">
        <v>42</v>
      </c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9"/>
      <c r="AZ92" s="322" t="s">
        <v>12</v>
      </c>
      <c r="BA92" s="322"/>
      <c r="BB92" s="322"/>
      <c r="BC92" s="322"/>
      <c r="BD92" s="398"/>
      <c r="BE92" s="392"/>
      <c r="BF92" s="393"/>
      <c r="BG92" s="393"/>
      <c r="BH92" s="394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7">
        <v>18</v>
      </c>
      <c r="D93" s="318"/>
      <c r="E93" s="396">
        <f>E89+TEXT($U$14*($X$14/1440)+($AI$14/1440)+($AW$14/1440),"hh:mm")</f>
        <v>0.8937499999999995</v>
      </c>
      <c r="F93" s="396"/>
      <c r="G93" s="396"/>
      <c r="H93" s="396"/>
      <c r="I93" s="316" t="str">
        <f>IF(ISBLANK(AZ73)," ",IF(AZ73&gt;BC73,I73,IF(AZ73&lt;BC73,AE73," ")))</f>
        <v>SV Walbeck</v>
      </c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136" t="s">
        <v>14</v>
      </c>
      <c r="AE93" s="288" t="str">
        <f>IF(ISBLANK(AZ77)," ",IF(AZ77&gt;BC77,I77,IF(AZ77&lt;BC77,AE77," ")))</f>
        <v>SV Veert</v>
      </c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9"/>
      <c r="AZ93" s="386">
        <v>1</v>
      </c>
      <c r="BA93" s="386"/>
      <c r="BB93" s="307"/>
      <c r="BC93" s="310">
        <v>2</v>
      </c>
      <c r="BD93" s="310"/>
      <c r="BE93" s="214" t="s">
        <v>58</v>
      </c>
      <c r="BF93" s="215"/>
      <c r="BG93" s="215"/>
      <c r="BH93" s="216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9"/>
      <c r="D94" s="320"/>
      <c r="E94" s="397"/>
      <c r="F94" s="397"/>
      <c r="G94" s="397"/>
      <c r="H94" s="397"/>
      <c r="I94" s="313" t="s">
        <v>43</v>
      </c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138"/>
      <c r="AE94" s="314" t="s">
        <v>44</v>
      </c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15"/>
      <c r="AZ94" s="381"/>
      <c r="BA94" s="381"/>
      <c r="BB94" s="381"/>
      <c r="BC94" s="381"/>
      <c r="BD94" s="382"/>
      <c r="BE94" s="220"/>
      <c r="BF94" s="221"/>
      <c r="BG94" s="221"/>
      <c r="BH94" s="222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7" t="s">
        <v>46</v>
      </c>
      <c r="K98" s="418"/>
      <c r="L98" s="410" t="str">
        <f>IF(ISBLANK($BC$93)," ",IF($AZ$93&gt;$BC$93,$I$93,IF($BC$93&gt;$AZ$93,$AE$93)))</f>
        <v>SV Veert</v>
      </c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5" t="s">
        <v>47</v>
      </c>
      <c r="K99" s="416"/>
      <c r="L99" s="407" t="str">
        <f>IF(ISBLANK($BC$93)," ",IF($AZ$93&lt;$BC$93,$I$93,IF($BC$93&lt;$AZ$93,$AE$93)))</f>
        <v>SV Walbeck</v>
      </c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9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5" t="s">
        <v>48</v>
      </c>
      <c r="K100" s="416"/>
      <c r="L100" s="407" t="str">
        <f>IF(ISBLANK($BC$89)," ",IF($AZ$89&gt;$BC$89,$I$89,IF($BC$89&gt;$AZ$89,$AE$89)))</f>
        <v>Fortuna Keppeln</v>
      </c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9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5" t="s">
        <v>49</v>
      </c>
      <c r="K101" s="416"/>
      <c r="L101" s="407" t="str">
        <f>IF(ISBLANK($BC$89)," ",IF($AZ$89&lt;$BC$89,$I$89,IF($BC$89&lt;$AZ$89,$AE$89)))</f>
        <v>DJK Lösort-Meiderich</v>
      </c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9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5" t="s">
        <v>50</v>
      </c>
      <c r="K102" s="416"/>
      <c r="L102" s="407" t="str">
        <f>IF(ISBLANK($BC$85)," ",IF($AZ$85&gt;$BC$85,$I$85,IF($BC$85&gt;$AZ$85,$AE$85)))</f>
        <v>GW Wesel-Flüren</v>
      </c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9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5" t="s">
        <v>51</v>
      </c>
      <c r="K103" s="416"/>
      <c r="L103" s="407" t="str">
        <f>IF(ISBLANK($BC$85)," ",IF($AZ$85&lt;$BC$85,$I$85,IF($BC$85&lt;$AZ$85,$AE$85)))</f>
        <v>SV Sonsbeck</v>
      </c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9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5" t="s">
        <v>52</v>
      </c>
      <c r="K104" s="416"/>
      <c r="L104" s="407" t="str">
        <f>IF(ISBLANK($BC$81)," ",IF($AZ$81&gt;$BC$81,$I$81,IF($BC$81&gt;$AZ$81,$AE$81)))</f>
        <v>GW Vernum </v>
      </c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9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3" t="s">
        <v>53</v>
      </c>
      <c r="K105" s="414"/>
      <c r="L105" s="404" t="str">
        <f>IF(ISBLANK($BC$81)," ",IF($AZ$81&lt;$BC$81,$I$81,IF($BC$81&lt;$AZ$81,$AE$81)))</f>
        <v>Weseler SV</v>
      </c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6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65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68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69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70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71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72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73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geOrder="overThenDown" paperSize="9" scale="75" r:id="rId4"/>
  <headerFooter alignWithMargins="0">
    <oddFooter xml:space="preserve">&amp;R&amp;P von &amp;N </oddFooter>
  </headerFooter>
  <rowBreaks count="2" manualBreakCount="2">
    <brk id="38" max="255" man="1"/>
    <brk id="9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5" t="str">
        <f>Ergebniseingabe!C2</f>
        <v>SV Grün Weiß Vernum 1949 e.V.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5" t="str">
        <f>Ergebniseingabe!C3</f>
        <v>22. GWV Jugendturnier 2017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3" t="s">
        <v>61</v>
      </c>
      <c r="AX3" s="213"/>
      <c r="AY3" s="213"/>
      <c r="AZ3" s="213"/>
      <c r="BA3" s="213"/>
      <c r="BB3" s="213"/>
      <c r="BC3" s="213"/>
      <c r="BD3" s="21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0" t="str">
        <f>Ergebniseingabe!C4</f>
        <v>B - Juniorinnen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5">
        <f>Ergebniseingabe!C6</f>
        <v>42881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39" t="str">
        <f>Ergebniseingabe!C8</f>
        <v>Gerhard-Waerdt Sportanlage, Vernumer Str. 157, 47608 Geldern/Vernum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3">
        <f>Ergebniseingabe!H11</f>
        <v>0.7083333333333334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12</v>
      </c>
      <c r="X10" s="421"/>
      <c r="Y10" s="421"/>
      <c r="Z10" s="421"/>
      <c r="AA10" s="421"/>
      <c r="AB10" s="206">
        <f>IF(T10=2,"Halbzeit:","")</f>
      </c>
      <c r="AC10" s="206"/>
      <c r="AD10" s="206"/>
      <c r="AE10" s="206"/>
      <c r="AF10" s="206"/>
      <c r="AG10" s="206"/>
      <c r="AH10" s="421">
        <f>IF(Ergebniseingabe!AI11="","",Ergebniseingabe!AI11)</f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3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1" t="str">
        <f>Ergebniseingabe!D19</f>
        <v>SV Veert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Fortuna Keppeln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4" t="str">
        <f>Ergebniseingabe!D20</f>
        <v>SV Walbeck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DJK Lösort-Meiderich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4" t="str">
        <f>Ergebniseingabe!D21</f>
        <v>Weseler SV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GW Wesel-Flüren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3" t="str">
        <f>Ergebniseingabe!D22</f>
        <v>SV Sonsbeck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GW Vernum 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6" t="s">
        <v>9</v>
      </c>
      <c r="C22" s="637"/>
      <c r="D22" s="512" t="s">
        <v>10</v>
      </c>
      <c r="E22" s="513"/>
      <c r="F22" s="514"/>
      <c r="G22" s="512" t="s">
        <v>63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0.7083333333333334</v>
      </c>
      <c r="H23" s="612"/>
      <c r="I23" s="612"/>
      <c r="J23" s="613"/>
      <c r="K23" s="533" t="str">
        <f>Ergebniseingabe!L27</f>
        <v>SV Veert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SV Walbeck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  <v>0</v>
      </c>
      <c r="BC23" s="616"/>
      <c r="BD23" s="616"/>
      <c r="BE23" s="426">
        <f>IF(Ergebniseingabe!BF27="","",Ergebniseingabe!BF27)</f>
        <v>0</v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0.71875</v>
      </c>
      <c r="H24" s="547"/>
      <c r="I24" s="547"/>
      <c r="J24" s="548"/>
      <c r="K24" s="580" t="str">
        <f>Ergebniseingabe!L28</f>
        <v>Weseler SV</v>
      </c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77" t="s">
        <v>14</v>
      </c>
      <c r="AG24" s="581" t="str">
        <f>Ergebniseingabe!AH28</f>
        <v>SV Sonsbeck</v>
      </c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90"/>
      <c r="BB24" s="588">
        <f>IF(Ergebniseingabe!BC28="","",Ergebniseingabe!BC28)</f>
        <v>0</v>
      </c>
      <c r="BC24" s="589"/>
      <c r="BD24" s="589"/>
      <c r="BE24" s="582">
        <f>IF(Ergebniseingabe!BF28="","",Ergebniseingabe!BF28)</f>
        <v>1</v>
      </c>
      <c r="BF24" s="58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0.7291666666666666</v>
      </c>
      <c r="H25" s="550"/>
      <c r="I25" s="550"/>
      <c r="J25" s="551"/>
      <c r="K25" s="610" t="str">
        <f>Ergebniseingabe!L29</f>
        <v>Fortuna Keppeln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DJK Lösort-Meiderich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6">
        <f>IF(Ergebniseingabe!BC29="","",Ergebniseingabe!BC29)</f>
        <v>0</v>
      </c>
      <c r="BC25" s="587"/>
      <c r="BD25" s="587"/>
      <c r="BE25" s="584">
        <f>IF(Ergebniseingabe!BF29="","",Ergebniseingabe!BF29)</f>
        <v>3</v>
      </c>
      <c r="BF25" s="58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0.7395833333333333</v>
      </c>
      <c r="H26" s="547"/>
      <c r="I26" s="547"/>
      <c r="J26" s="548"/>
      <c r="K26" s="580" t="str">
        <f>Ergebniseingabe!L30</f>
        <v>GW Wesel-Flüren</v>
      </c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77" t="s">
        <v>14</v>
      </c>
      <c r="AG26" s="581" t="str">
        <f>Ergebniseingabe!AH30</f>
        <v>GW Vernum </v>
      </c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90"/>
      <c r="BB26" s="588">
        <f>IF(Ergebniseingabe!BC30="","",Ergebniseingabe!BC30)</f>
        <v>1</v>
      </c>
      <c r="BC26" s="589"/>
      <c r="BD26" s="589"/>
      <c r="BE26" s="582">
        <f>IF(Ergebniseingabe!BF30="","",Ergebniseingabe!BF30)</f>
        <v>0</v>
      </c>
      <c r="BF26" s="58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0.7499999999999999</v>
      </c>
      <c r="H27" s="550"/>
      <c r="I27" s="550"/>
      <c r="J27" s="551"/>
      <c r="K27" s="610" t="str">
        <f>Ergebniseingabe!L31</f>
        <v>SV Veert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Weseler SV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6">
        <f>IF(Ergebniseingabe!BC31="","",Ergebniseingabe!BC31)</f>
        <v>0</v>
      </c>
      <c r="BC27" s="587"/>
      <c r="BD27" s="587"/>
      <c r="BE27" s="584">
        <f>IF(Ergebniseingabe!BF31="","",Ergebniseingabe!BF31)</f>
        <v>0</v>
      </c>
      <c r="BF27" s="58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0.7604166666666665</v>
      </c>
      <c r="H28" s="547"/>
      <c r="I28" s="547"/>
      <c r="J28" s="548"/>
      <c r="K28" s="580" t="str">
        <f>Ergebniseingabe!L32</f>
        <v>SV Walbeck</v>
      </c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77" t="s">
        <v>14</v>
      </c>
      <c r="AG28" s="581" t="str">
        <f>Ergebniseingabe!AH32</f>
        <v>SV Sonsbeck</v>
      </c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90"/>
      <c r="BB28" s="588">
        <f>IF(Ergebniseingabe!BC32="","",Ergebniseingabe!BC32)</f>
        <v>3</v>
      </c>
      <c r="BC28" s="589"/>
      <c r="BD28" s="589"/>
      <c r="BE28" s="582">
        <f>IF(Ergebniseingabe!BF32="","",Ergebniseingabe!BF32)</f>
        <v>0</v>
      </c>
      <c r="BF28" s="58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0.7708333333333331</v>
      </c>
      <c r="H29" s="550"/>
      <c r="I29" s="550"/>
      <c r="J29" s="551"/>
      <c r="K29" s="610" t="str">
        <f>Ergebniseingabe!L33</f>
        <v>Fortuna Keppeln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GW Wesel-Flüren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6">
        <f>IF(Ergebniseingabe!BC33="","",Ergebniseingabe!BC33)</f>
        <v>1</v>
      </c>
      <c r="BC29" s="587"/>
      <c r="BD29" s="587"/>
      <c r="BE29" s="584">
        <f>IF(Ergebniseingabe!BF33="","",Ergebniseingabe!BF33)</f>
        <v>0</v>
      </c>
      <c r="BF29" s="58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0.7812499999999998</v>
      </c>
      <c r="H30" s="547"/>
      <c r="I30" s="547"/>
      <c r="J30" s="548"/>
      <c r="K30" s="580" t="str">
        <f>Ergebniseingabe!L34</f>
        <v>DJK Lösort-Meiderich</v>
      </c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77" t="s">
        <v>14</v>
      </c>
      <c r="AG30" s="581" t="str">
        <f>Ergebniseingabe!AH34</f>
        <v>GW Vernum </v>
      </c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90"/>
      <c r="BB30" s="588">
        <f>IF(Ergebniseingabe!BC34="","",Ergebniseingabe!BC34)</f>
        <v>2</v>
      </c>
      <c r="BC30" s="589"/>
      <c r="BD30" s="589"/>
      <c r="BE30" s="582">
        <f>IF(Ergebniseingabe!BF34="","",Ergebniseingabe!BF34)</f>
        <v>0</v>
      </c>
      <c r="BF30" s="58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0.7916666666666664</v>
      </c>
      <c r="H31" s="550"/>
      <c r="I31" s="550"/>
      <c r="J31" s="551"/>
      <c r="K31" s="610" t="str">
        <f>Ergebniseingabe!L35</f>
        <v>SV Sonsbeck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SV Veert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6">
        <f>IF(Ergebniseingabe!BC35="","",Ergebniseingabe!BC35)</f>
        <v>1</v>
      </c>
      <c r="BC31" s="587"/>
      <c r="BD31" s="587"/>
      <c r="BE31" s="584">
        <f>IF(Ergebniseingabe!BF35="","",Ergebniseingabe!BF35)</f>
        <v>2</v>
      </c>
      <c r="BF31" s="58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0.802083333333333</v>
      </c>
      <c r="H32" s="547"/>
      <c r="I32" s="547"/>
      <c r="J32" s="548"/>
      <c r="K32" s="580" t="str">
        <f>Ergebniseingabe!L36</f>
        <v>Weseler SV</v>
      </c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77" t="s">
        <v>14</v>
      </c>
      <c r="AG32" s="581" t="str">
        <f>Ergebniseingabe!AH36</f>
        <v>SV Walbeck</v>
      </c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90"/>
      <c r="BB32" s="588">
        <f>IF(Ergebniseingabe!BC36="","",Ergebniseingabe!BC36)</f>
        <v>0</v>
      </c>
      <c r="BC32" s="589"/>
      <c r="BD32" s="589"/>
      <c r="BE32" s="582">
        <f>IF(Ergebniseingabe!BF36="","",Ergebniseingabe!BF36)</f>
        <v>2</v>
      </c>
      <c r="BF32" s="58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0.8124999999999997</v>
      </c>
      <c r="H33" s="550"/>
      <c r="I33" s="550"/>
      <c r="J33" s="551"/>
      <c r="K33" s="610" t="str">
        <f>Ergebniseingabe!L37</f>
        <v>GW Vernum 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Fortuna Keppeln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6">
        <f>IF(Ergebniseingabe!BC37="","",Ergebniseingabe!BC37)</f>
        <v>0</v>
      </c>
      <c r="BC33" s="587"/>
      <c r="BD33" s="587"/>
      <c r="BE33" s="584">
        <f>IF(Ergebniseingabe!BF37="","",Ergebniseingabe!BF37)</f>
        <v>2</v>
      </c>
      <c r="BF33" s="58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0.8229166666666663</v>
      </c>
      <c r="H34" s="547"/>
      <c r="I34" s="547"/>
      <c r="J34" s="548"/>
      <c r="K34" s="580" t="str">
        <f>Ergebniseingabe!L38</f>
        <v>GW Wesel-Flüren</v>
      </c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77" t="s">
        <v>14</v>
      </c>
      <c r="AG34" s="581" t="str">
        <f>Ergebniseingabe!AH38</f>
        <v>DJK Lösort-Meiderich</v>
      </c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90"/>
      <c r="BB34" s="588">
        <f>IF(Ergebniseingabe!BC38="","",Ergebniseingabe!BC38)</f>
        <v>0</v>
      </c>
      <c r="BC34" s="589"/>
      <c r="BD34" s="589"/>
      <c r="BE34" s="582">
        <f>IF(Ergebniseingabe!BF38="","",Ergebniseingabe!BF38)</f>
        <v>3</v>
      </c>
      <c r="BF34" s="58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1" t="str">
        <f>L45</f>
        <v>SV Walbeck</v>
      </c>
      <c r="AH37" s="592"/>
      <c r="AI37" s="602"/>
      <c r="AJ37" s="591" t="str">
        <f>L46</f>
        <v>SV Veert</v>
      </c>
      <c r="AK37" s="592"/>
      <c r="AL37" s="602"/>
      <c r="AM37" s="591" t="str">
        <f>L47</f>
        <v>SV Sonsbeck</v>
      </c>
      <c r="AN37" s="592"/>
      <c r="AO37" s="602"/>
      <c r="AP37" s="591" t="str">
        <f>L48</f>
        <v>Weseler SV</v>
      </c>
      <c r="AQ37" s="592"/>
      <c r="AR37" s="59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3"/>
      <c r="AH38" s="595"/>
      <c r="AI38" s="604"/>
      <c r="AJ38" s="594"/>
      <c r="AK38" s="595"/>
      <c r="AL38" s="604"/>
      <c r="AM38" s="594"/>
      <c r="AN38" s="595"/>
      <c r="AO38" s="604"/>
      <c r="AP38" s="594"/>
      <c r="AQ38" s="595"/>
      <c r="AR38" s="59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3"/>
      <c r="AH39" s="595"/>
      <c r="AI39" s="604"/>
      <c r="AJ39" s="594"/>
      <c r="AK39" s="595"/>
      <c r="AL39" s="604"/>
      <c r="AM39" s="594"/>
      <c r="AN39" s="595"/>
      <c r="AO39" s="604"/>
      <c r="AP39" s="594"/>
      <c r="AQ39" s="595"/>
      <c r="AR39" s="59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3"/>
      <c r="AH40" s="595"/>
      <c r="AI40" s="604"/>
      <c r="AJ40" s="594"/>
      <c r="AK40" s="595"/>
      <c r="AL40" s="604"/>
      <c r="AM40" s="594"/>
      <c r="AN40" s="595"/>
      <c r="AO40" s="604"/>
      <c r="AP40" s="594"/>
      <c r="AQ40" s="595"/>
      <c r="AR40" s="59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3"/>
      <c r="AH41" s="595"/>
      <c r="AI41" s="604"/>
      <c r="AJ41" s="594"/>
      <c r="AK41" s="595"/>
      <c r="AL41" s="604"/>
      <c r="AM41" s="594"/>
      <c r="AN41" s="595"/>
      <c r="AO41" s="604"/>
      <c r="AP41" s="594"/>
      <c r="AQ41" s="595"/>
      <c r="AR41" s="59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3"/>
      <c r="AH42" s="595"/>
      <c r="AI42" s="604"/>
      <c r="AJ42" s="594"/>
      <c r="AK42" s="595"/>
      <c r="AL42" s="604"/>
      <c r="AM42" s="594"/>
      <c r="AN42" s="595"/>
      <c r="AO42" s="604"/>
      <c r="AP42" s="594"/>
      <c r="AQ42" s="595"/>
      <c r="AR42" s="59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3"/>
      <c r="AH43" s="595"/>
      <c r="AI43" s="604"/>
      <c r="AJ43" s="594"/>
      <c r="AK43" s="595"/>
      <c r="AL43" s="604"/>
      <c r="AM43" s="594"/>
      <c r="AN43" s="595"/>
      <c r="AO43" s="604"/>
      <c r="AP43" s="594"/>
      <c r="AQ43" s="595"/>
      <c r="AR43" s="59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5"/>
      <c r="AH44" s="598"/>
      <c r="AI44" s="606"/>
      <c r="AJ44" s="597"/>
      <c r="AK44" s="598"/>
      <c r="AL44" s="606"/>
      <c r="AM44" s="597"/>
      <c r="AN44" s="598"/>
      <c r="AO44" s="606"/>
      <c r="AP44" s="597"/>
      <c r="AQ44" s="598"/>
      <c r="AR44" s="599"/>
      <c r="AS44" s="437" t="s">
        <v>19</v>
      </c>
      <c r="AT44" s="437"/>
      <c r="AU44" s="600"/>
      <c r="AV44" s="566" t="s">
        <v>20</v>
      </c>
      <c r="AW44" s="437"/>
      <c r="AX44" s="600"/>
      <c r="AY44" s="566" t="s">
        <v>21</v>
      </c>
      <c r="AZ44" s="437"/>
      <c r="BA44" s="600"/>
      <c r="BB44" s="566" t="s">
        <v>22</v>
      </c>
      <c r="BC44" s="437"/>
      <c r="BD44" s="600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6">
        <f>IF(Ergebniseingabe!C49="","",Ergebniseingabe!C49)</f>
      </c>
      <c r="C45" s="516"/>
      <c r="D45" s="516"/>
      <c r="E45" s="516"/>
      <c r="F45" s="516">
        <f>IF(Ergebniseingabe!G49="","",Ergebniseingabe!G49)</f>
      </c>
      <c r="G45" s="516"/>
      <c r="H45" s="516"/>
      <c r="J45" s="479">
        <f>Ergebniseingabe!K49</f>
        <v>1</v>
      </c>
      <c r="K45" s="480"/>
      <c r="L45" s="460" t="str">
        <f>Ergebniseingabe!M49</f>
        <v>SV Walbeck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76"/>
      <c r="AH45" s="476"/>
      <c r="AI45" s="477"/>
      <c r="AJ45" s="573" t="str">
        <f>Ergebniseingabe!AK49</f>
        <v>0:0</v>
      </c>
      <c r="AK45" s="569"/>
      <c r="AL45" s="568"/>
      <c r="AM45" s="573" t="str">
        <f>Ergebniseingabe!AN49</f>
        <v>3:0</v>
      </c>
      <c r="AN45" s="569"/>
      <c r="AO45" s="568"/>
      <c r="AP45" s="434" t="str">
        <f>Ergebniseingabe!AQ49</f>
        <v>2:0</v>
      </c>
      <c r="AQ45" s="435"/>
      <c r="AR45" s="435"/>
      <c r="AS45" s="435">
        <f>Ergebniseingabe!AT49</f>
        <v>3</v>
      </c>
      <c r="AT45" s="435"/>
      <c r="AU45" s="572"/>
      <c r="AV45" s="478">
        <f>Ergebniseingabe!AW49</f>
        <v>2</v>
      </c>
      <c r="AW45" s="478"/>
      <c r="AX45" s="478"/>
      <c r="AY45" s="478">
        <f>Ergebniseingabe!AZ49</f>
        <v>1</v>
      </c>
      <c r="AZ45" s="478"/>
      <c r="BA45" s="478"/>
      <c r="BB45" s="478">
        <f>Ergebniseingabe!BC49</f>
        <v>0</v>
      </c>
      <c r="BC45" s="478"/>
      <c r="BD45" s="478"/>
      <c r="BE45" s="569">
        <f>Ergebniseingabe!BF49</f>
        <v>5</v>
      </c>
      <c r="BF45" s="569"/>
      <c r="BG45" s="79" t="str">
        <f>Ergebniseingabe!BH49</f>
        <v>:</v>
      </c>
      <c r="BH45" s="568">
        <f>Ergebniseingabe!BI49</f>
        <v>0</v>
      </c>
      <c r="BI45" s="478"/>
      <c r="BJ45" s="570">
        <f>Ergebniseingabe!BK49</f>
        <v>5</v>
      </c>
      <c r="BK45" s="570"/>
      <c r="BL45" s="571"/>
      <c r="BM45" s="478">
        <f>Ergebniseingabe!BN49</f>
        <v>7</v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6">
        <f>IF(Ergebniseingabe!C50="","",Ergebniseingabe!C50)</f>
      </c>
      <c r="C46" s="516"/>
      <c r="D46" s="516"/>
      <c r="E46" s="516"/>
      <c r="F46" s="516">
        <f>IF(Ergebniseingabe!G50="","",Ergebniseingabe!G50)</f>
      </c>
      <c r="G46" s="516"/>
      <c r="H46" s="516"/>
      <c r="J46" s="552">
        <f>Ergebniseingabe!K50</f>
        <v>2</v>
      </c>
      <c r="K46" s="553"/>
      <c r="L46" s="441" t="str">
        <f>Ergebniseingabe!M50</f>
        <v>SV Veert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2" t="str">
        <f>Ergebniseingabe!AH50</f>
        <v>0:0</v>
      </c>
      <c r="AH46" s="462"/>
      <c r="AI46" s="463"/>
      <c r="AJ46" s="455"/>
      <c r="AK46" s="456"/>
      <c r="AL46" s="457"/>
      <c r="AM46" s="452" t="str">
        <f>Ergebniseingabe!AN50</f>
        <v>2:1</v>
      </c>
      <c r="AN46" s="453"/>
      <c r="AO46" s="454"/>
      <c r="AP46" s="486" t="str">
        <f>Ergebniseingabe!AQ50</f>
        <v>0:0</v>
      </c>
      <c r="AQ46" s="462"/>
      <c r="AR46" s="462"/>
      <c r="AS46" s="462">
        <f>Ergebniseingabe!AT50</f>
        <v>3</v>
      </c>
      <c r="AT46" s="462"/>
      <c r="AU46" s="463"/>
      <c r="AV46" s="487">
        <f>Ergebniseingabe!AW50</f>
        <v>1</v>
      </c>
      <c r="AW46" s="487"/>
      <c r="AX46" s="487"/>
      <c r="AY46" s="487">
        <f>Ergebniseingabe!AZ50</f>
        <v>2</v>
      </c>
      <c r="AZ46" s="487"/>
      <c r="BA46" s="487"/>
      <c r="BB46" s="487">
        <f>Ergebniseingabe!BC50</f>
        <v>0</v>
      </c>
      <c r="BC46" s="487"/>
      <c r="BD46" s="487"/>
      <c r="BE46" s="453">
        <f>Ergebniseingabe!BF50</f>
        <v>2</v>
      </c>
      <c r="BF46" s="453"/>
      <c r="BG46" s="80" t="str">
        <f>Ergebniseingabe!BH50</f>
        <v>:</v>
      </c>
      <c r="BH46" s="454">
        <f>Ergebniseingabe!BI50</f>
        <v>1</v>
      </c>
      <c r="BI46" s="487"/>
      <c r="BJ46" s="564">
        <f>Ergebniseingabe!BK50</f>
        <v>1</v>
      </c>
      <c r="BK46" s="564"/>
      <c r="BL46" s="565"/>
      <c r="BM46" s="487">
        <f>Ergebniseingabe!BN50</f>
        <v>5</v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6">
        <f>IF(Ergebniseingabe!C51="","",Ergebniseingabe!C51)</f>
      </c>
      <c r="C47" s="516"/>
      <c r="D47" s="516"/>
      <c r="E47" s="516"/>
      <c r="F47" s="516">
        <f>IF(Ergebniseingabe!G51="","",Ergebniseingabe!G51)</f>
      </c>
      <c r="G47" s="516"/>
      <c r="H47" s="516"/>
      <c r="J47" s="552">
        <f>Ergebniseingabe!K51</f>
        <v>3</v>
      </c>
      <c r="K47" s="553"/>
      <c r="L47" s="441" t="str">
        <f>Ergebniseingabe!M51</f>
        <v>SV Sonsbeck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2" t="str">
        <f>Ergebniseingabe!AH51</f>
        <v>0:3</v>
      </c>
      <c r="AH47" s="462"/>
      <c r="AI47" s="463"/>
      <c r="AJ47" s="452" t="str">
        <f>Ergebniseingabe!AK51</f>
        <v>1:2</v>
      </c>
      <c r="AK47" s="453"/>
      <c r="AL47" s="454"/>
      <c r="AM47" s="455"/>
      <c r="AN47" s="456"/>
      <c r="AO47" s="457"/>
      <c r="AP47" s="486" t="str">
        <f>Ergebniseingabe!AQ51</f>
        <v>1:0</v>
      </c>
      <c r="AQ47" s="462"/>
      <c r="AR47" s="462"/>
      <c r="AS47" s="462">
        <f>Ergebniseingabe!AT51</f>
        <v>3</v>
      </c>
      <c r="AT47" s="462"/>
      <c r="AU47" s="463"/>
      <c r="AV47" s="487">
        <f>Ergebniseingabe!AW51</f>
        <v>1</v>
      </c>
      <c r="AW47" s="487"/>
      <c r="AX47" s="487"/>
      <c r="AY47" s="487">
        <f>Ergebniseingabe!AZ51</f>
        <v>0</v>
      </c>
      <c r="AZ47" s="487"/>
      <c r="BA47" s="487"/>
      <c r="BB47" s="487">
        <f>Ergebniseingabe!BC51</f>
        <v>2</v>
      </c>
      <c r="BC47" s="487"/>
      <c r="BD47" s="487"/>
      <c r="BE47" s="453">
        <f>Ergebniseingabe!BF51</f>
        <v>2</v>
      </c>
      <c r="BF47" s="453"/>
      <c r="BG47" s="80" t="str">
        <f>Ergebniseingabe!BH51</f>
        <v>:</v>
      </c>
      <c r="BH47" s="454">
        <f>Ergebniseingabe!BI51</f>
        <v>5</v>
      </c>
      <c r="BI47" s="487"/>
      <c r="BJ47" s="564">
        <f>Ergebniseingabe!BK51</f>
        <v>-3</v>
      </c>
      <c r="BK47" s="564"/>
      <c r="BL47" s="565"/>
      <c r="BM47" s="487">
        <f>Ergebniseingabe!BN51</f>
        <v>3</v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6">
        <f>IF(Ergebniseingabe!C52="","",Ergebniseingabe!C52)</f>
      </c>
      <c r="C48" s="516"/>
      <c r="D48" s="516"/>
      <c r="E48" s="516"/>
      <c r="F48" s="516">
        <f>IF(Ergebniseingabe!G52="","",Ergebniseingabe!G52)</f>
      </c>
      <c r="G48" s="516"/>
      <c r="H48" s="516"/>
      <c r="J48" s="618">
        <f>Ergebniseingabe!K52</f>
        <v>4</v>
      </c>
      <c r="K48" s="619"/>
      <c r="L48" s="439" t="str">
        <f>Ergebniseingabe!M52</f>
        <v>Weseler SV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58" t="str">
        <f>Ergebniseingabe!AH52</f>
        <v>0:2</v>
      </c>
      <c r="AH48" s="458"/>
      <c r="AI48" s="459"/>
      <c r="AJ48" s="481" t="str">
        <f>Ergebniseingabe!AK52</f>
        <v>0:0</v>
      </c>
      <c r="AK48" s="482"/>
      <c r="AL48" s="483"/>
      <c r="AM48" s="481" t="str">
        <f>Ergebniseingabe!AN52</f>
        <v>0:1</v>
      </c>
      <c r="AN48" s="482"/>
      <c r="AO48" s="483"/>
      <c r="AP48" s="484"/>
      <c r="AQ48" s="485"/>
      <c r="AR48" s="485"/>
      <c r="AS48" s="458">
        <f>Ergebniseingabe!AT52</f>
        <v>3</v>
      </c>
      <c r="AT48" s="458"/>
      <c r="AU48" s="459"/>
      <c r="AV48" s="557">
        <f>Ergebniseingabe!AW52</f>
        <v>0</v>
      </c>
      <c r="AW48" s="557"/>
      <c r="AX48" s="557"/>
      <c r="AY48" s="557">
        <f>Ergebniseingabe!AZ52</f>
        <v>1</v>
      </c>
      <c r="AZ48" s="557"/>
      <c r="BA48" s="557"/>
      <c r="BB48" s="557">
        <f>Ergebniseingabe!BC52</f>
        <v>2</v>
      </c>
      <c r="BC48" s="557"/>
      <c r="BD48" s="557"/>
      <c r="BE48" s="482">
        <f>Ergebniseingabe!BF52</f>
        <v>0</v>
      </c>
      <c r="BF48" s="482"/>
      <c r="BG48" s="81" t="str">
        <f>Ergebniseingabe!BH52</f>
        <v>:</v>
      </c>
      <c r="BH48" s="483">
        <f>Ergebniseingabe!BI52</f>
        <v>3</v>
      </c>
      <c r="BI48" s="557"/>
      <c r="BJ48" s="578">
        <f>Ergebniseingabe!BK52</f>
        <v>-3</v>
      </c>
      <c r="BK48" s="578"/>
      <c r="BL48" s="579"/>
      <c r="BM48" s="557">
        <f>Ergebniseingabe!BN52</f>
        <v>1</v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3" t="str">
        <f>L58</f>
        <v>DJK Lösort-Meiderich</v>
      </c>
      <c r="AH50" s="465"/>
      <c r="AI50" s="466"/>
      <c r="AJ50" s="464" t="str">
        <f>L59</f>
        <v>Fortuna Keppeln</v>
      </c>
      <c r="AK50" s="465"/>
      <c r="AL50" s="466"/>
      <c r="AM50" s="464" t="str">
        <f>L60</f>
        <v>GW Wesel-Flüren</v>
      </c>
      <c r="AN50" s="465"/>
      <c r="AO50" s="466"/>
      <c r="AP50" s="464" t="str">
        <f>L61</f>
        <v>GW Vernum </v>
      </c>
      <c r="AQ50" s="465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4"/>
      <c r="AH51" s="468"/>
      <c r="AI51" s="469"/>
      <c r="AJ51" s="467"/>
      <c r="AK51" s="468"/>
      <c r="AL51" s="469"/>
      <c r="AM51" s="467"/>
      <c r="AN51" s="468"/>
      <c r="AO51" s="469"/>
      <c r="AP51" s="467"/>
      <c r="AQ51" s="468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4"/>
      <c r="AH52" s="468"/>
      <c r="AI52" s="469"/>
      <c r="AJ52" s="467"/>
      <c r="AK52" s="468"/>
      <c r="AL52" s="469"/>
      <c r="AM52" s="467"/>
      <c r="AN52" s="468"/>
      <c r="AO52" s="469"/>
      <c r="AP52" s="467"/>
      <c r="AQ52" s="468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4"/>
      <c r="AH53" s="468"/>
      <c r="AI53" s="469"/>
      <c r="AJ53" s="467"/>
      <c r="AK53" s="468"/>
      <c r="AL53" s="469"/>
      <c r="AM53" s="467"/>
      <c r="AN53" s="468"/>
      <c r="AO53" s="469"/>
      <c r="AP53" s="467"/>
      <c r="AQ53" s="468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4"/>
      <c r="AH54" s="468"/>
      <c r="AI54" s="469"/>
      <c r="AJ54" s="467"/>
      <c r="AK54" s="468"/>
      <c r="AL54" s="469"/>
      <c r="AM54" s="467"/>
      <c r="AN54" s="468"/>
      <c r="AO54" s="469"/>
      <c r="AP54" s="467"/>
      <c r="AQ54" s="468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4"/>
      <c r="AH55" s="468"/>
      <c r="AI55" s="469"/>
      <c r="AJ55" s="467"/>
      <c r="AK55" s="468"/>
      <c r="AL55" s="469"/>
      <c r="AM55" s="467"/>
      <c r="AN55" s="468"/>
      <c r="AO55" s="469"/>
      <c r="AP55" s="467"/>
      <c r="AQ55" s="468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4"/>
      <c r="AH56" s="468"/>
      <c r="AI56" s="469"/>
      <c r="AJ56" s="467"/>
      <c r="AK56" s="468"/>
      <c r="AL56" s="469"/>
      <c r="AM56" s="467"/>
      <c r="AN56" s="468"/>
      <c r="AO56" s="469"/>
      <c r="AP56" s="467"/>
      <c r="AQ56" s="468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5"/>
      <c r="AH57" s="471"/>
      <c r="AI57" s="472"/>
      <c r="AJ57" s="470"/>
      <c r="AK57" s="471"/>
      <c r="AL57" s="472"/>
      <c r="AM57" s="470"/>
      <c r="AN57" s="471"/>
      <c r="AO57" s="472"/>
      <c r="AP57" s="470"/>
      <c r="AQ57" s="471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79">
        <f>Ergebniseingabe!K62</f>
        <v>1</v>
      </c>
      <c r="K58" s="480"/>
      <c r="L58" s="460" t="str">
        <f>Ergebniseingabe!M62</f>
        <v>DJK Lösort-Meiderich</v>
      </c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76"/>
      <c r="AH58" s="476"/>
      <c r="AI58" s="477"/>
      <c r="AJ58" s="478" t="str">
        <f>Ergebniseingabe!AK62</f>
        <v>3:0</v>
      </c>
      <c r="AK58" s="478"/>
      <c r="AL58" s="478"/>
      <c r="AM58" s="478" t="str">
        <f>Ergebniseingabe!AN62</f>
        <v>3:0</v>
      </c>
      <c r="AN58" s="478"/>
      <c r="AO58" s="478"/>
      <c r="AP58" s="434" t="str">
        <f>Ergebniseingabe!AQ62</f>
        <v>2:0</v>
      </c>
      <c r="AQ58" s="435"/>
      <c r="AR58" s="435"/>
      <c r="AS58" s="435">
        <f>Ergebniseingabe!AT62</f>
        <v>3</v>
      </c>
      <c r="AT58" s="435"/>
      <c r="AU58" s="572"/>
      <c r="AV58" s="573">
        <f>Ergebniseingabe!AW62</f>
        <v>3</v>
      </c>
      <c r="AW58" s="569"/>
      <c r="AX58" s="568"/>
      <c r="AY58" s="573">
        <f>Ergebniseingabe!AZ62</f>
        <v>0</v>
      </c>
      <c r="AZ58" s="569"/>
      <c r="BA58" s="568"/>
      <c r="BB58" s="573">
        <f>Ergebniseingabe!BC62</f>
        <v>0</v>
      </c>
      <c r="BC58" s="569"/>
      <c r="BD58" s="568"/>
      <c r="BE58" s="569">
        <f>Ergebniseingabe!BF62</f>
        <v>8</v>
      </c>
      <c r="BF58" s="569"/>
      <c r="BG58" s="79" t="str">
        <f>Ergebniseingabe!BH62</f>
        <v>:</v>
      </c>
      <c r="BH58" s="568">
        <f>Ergebniseingabe!BI62</f>
        <v>0</v>
      </c>
      <c r="BI58" s="478"/>
      <c r="BJ58" s="570">
        <f>Ergebniseingabe!BK62</f>
        <v>8</v>
      </c>
      <c r="BK58" s="570"/>
      <c r="BL58" s="571"/>
      <c r="BM58" s="573">
        <f>Ergebniseingabe!BN62</f>
        <v>9</v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52">
        <f>Ergebniseingabe!K63</f>
        <v>2</v>
      </c>
      <c r="K59" s="553"/>
      <c r="L59" s="441" t="str">
        <f>Ergebniseingabe!M63</f>
        <v>Fortuna Keppeln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2" t="str">
        <f>Ergebniseingabe!AH63</f>
        <v>0:3</v>
      </c>
      <c r="AH59" s="462"/>
      <c r="AI59" s="463"/>
      <c r="AJ59" s="558"/>
      <c r="AK59" s="558"/>
      <c r="AL59" s="558"/>
      <c r="AM59" s="487" t="str">
        <f>Ergebniseingabe!AN63</f>
        <v>1:0</v>
      </c>
      <c r="AN59" s="487"/>
      <c r="AO59" s="487"/>
      <c r="AP59" s="486" t="str">
        <f>Ergebniseingabe!AQ63</f>
        <v>2:0</v>
      </c>
      <c r="AQ59" s="462"/>
      <c r="AR59" s="462"/>
      <c r="AS59" s="462">
        <f>Ergebniseingabe!AT63</f>
        <v>3</v>
      </c>
      <c r="AT59" s="462"/>
      <c r="AU59" s="463"/>
      <c r="AV59" s="452">
        <f>Ergebniseingabe!AW63</f>
        <v>2</v>
      </c>
      <c r="AW59" s="453"/>
      <c r="AX59" s="454"/>
      <c r="AY59" s="452">
        <f>Ergebniseingabe!AZ63</f>
        <v>0</v>
      </c>
      <c r="AZ59" s="453"/>
      <c r="BA59" s="454"/>
      <c r="BB59" s="452">
        <f>Ergebniseingabe!BC63</f>
        <v>1</v>
      </c>
      <c r="BC59" s="453"/>
      <c r="BD59" s="454"/>
      <c r="BE59" s="453">
        <f>Ergebniseingabe!BF63</f>
        <v>3</v>
      </c>
      <c r="BF59" s="453"/>
      <c r="BG59" s="80" t="str">
        <f>Ergebniseingabe!BH63</f>
        <v>:</v>
      </c>
      <c r="BH59" s="454">
        <f>Ergebniseingabe!BI63</f>
        <v>3</v>
      </c>
      <c r="BI59" s="487"/>
      <c r="BJ59" s="564">
        <f>Ergebniseingabe!BK63</f>
        <v>0</v>
      </c>
      <c r="BK59" s="564"/>
      <c r="BL59" s="565"/>
      <c r="BM59" s="452">
        <f>Ergebniseingabe!BN63</f>
        <v>6</v>
      </c>
      <c r="BN59" s="453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52">
        <f>Ergebniseingabe!K64</f>
        <v>3</v>
      </c>
      <c r="K60" s="553"/>
      <c r="L60" s="441" t="str">
        <f>Ergebniseingabe!M64</f>
        <v>GW Wesel-Flüren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2" t="str">
        <f>Ergebniseingabe!AH64</f>
        <v>0:3</v>
      </c>
      <c r="AH60" s="462"/>
      <c r="AI60" s="463"/>
      <c r="AJ60" s="487" t="str">
        <f>Ergebniseingabe!AK64</f>
        <v>0:1</v>
      </c>
      <c r="AK60" s="487"/>
      <c r="AL60" s="487"/>
      <c r="AM60" s="558"/>
      <c r="AN60" s="558"/>
      <c r="AO60" s="558"/>
      <c r="AP60" s="486" t="str">
        <f>Ergebniseingabe!AQ64</f>
        <v>1:0</v>
      </c>
      <c r="AQ60" s="462"/>
      <c r="AR60" s="462"/>
      <c r="AS60" s="462">
        <f>Ergebniseingabe!AT64</f>
        <v>3</v>
      </c>
      <c r="AT60" s="462"/>
      <c r="AU60" s="463"/>
      <c r="AV60" s="452">
        <f>Ergebniseingabe!AW64</f>
        <v>1</v>
      </c>
      <c r="AW60" s="453"/>
      <c r="AX60" s="454"/>
      <c r="AY60" s="452">
        <f>Ergebniseingabe!AZ64</f>
        <v>0</v>
      </c>
      <c r="AZ60" s="453"/>
      <c r="BA60" s="454"/>
      <c r="BB60" s="452">
        <f>Ergebniseingabe!BC64</f>
        <v>2</v>
      </c>
      <c r="BC60" s="453"/>
      <c r="BD60" s="454"/>
      <c r="BE60" s="453">
        <f>Ergebniseingabe!BF64</f>
        <v>1</v>
      </c>
      <c r="BF60" s="453"/>
      <c r="BG60" s="80" t="str">
        <f>Ergebniseingabe!BH64</f>
        <v>:</v>
      </c>
      <c r="BH60" s="454">
        <f>Ergebniseingabe!BI64</f>
        <v>4</v>
      </c>
      <c r="BI60" s="487"/>
      <c r="BJ60" s="564">
        <f>Ergebniseingabe!BK64</f>
        <v>-3</v>
      </c>
      <c r="BK60" s="564"/>
      <c r="BL60" s="565"/>
      <c r="BM60" s="452">
        <f>Ergebniseingabe!BN64</f>
        <v>3</v>
      </c>
      <c r="BN60" s="453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8">
        <f>Ergebniseingabe!K65</f>
        <v>4</v>
      </c>
      <c r="K61" s="619"/>
      <c r="L61" s="439" t="str">
        <f>Ergebniseingabe!M65</f>
        <v>GW Vernum 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58" t="str">
        <f>Ergebniseingabe!AH65</f>
        <v>0:2</v>
      </c>
      <c r="AH61" s="458"/>
      <c r="AI61" s="459"/>
      <c r="AJ61" s="557" t="str">
        <f>Ergebniseingabe!AK65</f>
        <v>0:2</v>
      </c>
      <c r="AK61" s="557"/>
      <c r="AL61" s="557"/>
      <c r="AM61" s="557" t="str">
        <f>Ergebniseingabe!AN65</f>
        <v>0:1</v>
      </c>
      <c r="AN61" s="557"/>
      <c r="AO61" s="557"/>
      <c r="AP61" s="484"/>
      <c r="AQ61" s="485"/>
      <c r="AR61" s="485"/>
      <c r="AS61" s="458">
        <f>Ergebniseingabe!AT65</f>
        <v>3</v>
      </c>
      <c r="AT61" s="458"/>
      <c r="AU61" s="459"/>
      <c r="AV61" s="481">
        <f>Ergebniseingabe!AW65</f>
        <v>0</v>
      </c>
      <c r="AW61" s="482"/>
      <c r="AX61" s="483"/>
      <c r="AY61" s="481">
        <f>Ergebniseingabe!AZ65</f>
        <v>0</v>
      </c>
      <c r="AZ61" s="482"/>
      <c r="BA61" s="483"/>
      <c r="BB61" s="481">
        <f>Ergebniseingabe!BC65</f>
        <v>3</v>
      </c>
      <c r="BC61" s="482"/>
      <c r="BD61" s="483"/>
      <c r="BE61" s="482">
        <f>Ergebniseingabe!BF65</f>
        <v>0</v>
      </c>
      <c r="BF61" s="482"/>
      <c r="BG61" s="81" t="str">
        <f>Ergebniseingabe!BH65</f>
        <v>:</v>
      </c>
      <c r="BH61" s="483">
        <f>Ergebniseingabe!BI65</f>
        <v>5</v>
      </c>
      <c r="BI61" s="557"/>
      <c r="BJ61" s="578">
        <f>Ergebniseingabe!BK65</f>
        <v>-5</v>
      </c>
      <c r="BK61" s="578"/>
      <c r="BL61" s="579"/>
      <c r="BM61" s="481">
        <f>Ergebniseingabe!BN65</f>
        <v>0</v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5" t="str">
        <f>$B$2</f>
        <v>SV Grün Weiß Vernum 1949 e.V.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5" t="str">
        <f>$B$3</f>
        <v>22. GWV Jugendturnier 2017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3" t="s">
        <v>61</v>
      </c>
      <c r="AW65" s="213"/>
      <c r="AX65" s="213"/>
      <c r="AY65" s="213"/>
      <c r="AZ65" s="213"/>
      <c r="BA65" s="213"/>
      <c r="BB65" s="213"/>
      <c r="BC65" s="213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6">
        <f>B6</f>
        <v>42881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0" t="s">
        <v>62</v>
      </c>
      <c r="B71" s="620"/>
      <c r="C71" s="620"/>
      <c r="D71" s="620"/>
      <c r="E71" s="620"/>
      <c r="F71" s="620"/>
      <c r="G71" s="621">
        <f>Ergebniseingabe!H70</f>
        <v>0.8416666666666663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12</v>
      </c>
      <c r="X71" s="631"/>
      <c r="Y71" s="631"/>
      <c r="Z71" s="631"/>
      <c r="AA71" s="631"/>
      <c r="AB71" s="617">
        <f>Ergebniseingabe!AC70</f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3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9" t="s">
        <v>9</v>
      </c>
      <c r="C73" s="561"/>
      <c r="D73" s="561" t="s">
        <v>63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7">
        <v>13</v>
      </c>
      <c r="C74" s="518"/>
      <c r="D74" s="521">
        <f>Ergebniseingabe!E73</f>
        <v>0.8416666666666663</v>
      </c>
      <c r="E74" s="521"/>
      <c r="F74" s="521"/>
      <c r="G74" s="521"/>
      <c r="H74" s="533" t="str">
        <f>Ergebniseingabe!I73</f>
        <v>SV Walbeck</v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 t="str">
        <f>Ergebniseingabe!AE73</f>
        <v>Fortuna Keppeln</v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  <v>1</v>
      </c>
      <c r="AZ74" s="506"/>
      <c r="BA74" s="507"/>
      <c r="BB74" s="526">
        <f>IF(Ergebniseingabe!BC73="","",Ergebniseingabe!BC73)</f>
        <v>0</v>
      </c>
      <c r="BC74" s="526"/>
      <c r="BD74" s="425" t="str">
        <f>IF(Ergebniseingabe!BE73="","",Ergebniseingabe!BE73)</f>
        <v>n. 9m</v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9" t="s">
        <v>9</v>
      </c>
      <c r="C77" s="561"/>
      <c r="D77" s="561" t="s">
        <v>63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7">
        <v>14</v>
      </c>
      <c r="C78" s="518"/>
      <c r="D78" s="521">
        <f>Ergebniseingabe!E77</f>
        <v>0.852083333333333</v>
      </c>
      <c r="E78" s="521"/>
      <c r="F78" s="521"/>
      <c r="G78" s="521"/>
      <c r="H78" s="533" t="str">
        <f>Ergebniseingabe!I77</f>
        <v>DJK Lösort-Meiderich</v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 t="str">
        <f>Ergebniseingabe!AE77</f>
        <v>SV Veert</v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  <v>0</v>
      </c>
      <c r="AZ78" s="506"/>
      <c r="BA78" s="507"/>
      <c r="BB78" s="526">
        <f>IF(Ergebniseingabe!BC77="","",Ergebniseingabe!BC77)</f>
        <v>1</v>
      </c>
      <c r="BC78" s="526"/>
      <c r="BD78" s="425" t="str">
        <f>IF(Ergebniseingabe!BE77="","",Ergebniseingabe!BE77)</f>
        <v>n. 9m</v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9" t="s">
        <v>9</v>
      </c>
      <c r="C81" s="525"/>
      <c r="D81" s="525" t="s">
        <v>63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7">
        <v>15</v>
      </c>
      <c r="C82" s="518"/>
      <c r="D82" s="521">
        <f>Ergebniseingabe!E81</f>
        <v>0.8624999999999996</v>
      </c>
      <c r="E82" s="521"/>
      <c r="F82" s="521"/>
      <c r="G82" s="521"/>
      <c r="H82" s="533" t="str">
        <f>Ergebniseingabe!I81</f>
        <v>Weseler SV</v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 t="str">
        <f>Ergebniseingabe!AE81</f>
        <v>GW Vernum </v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  <v>3</v>
      </c>
      <c r="AZ82" s="506"/>
      <c r="BA82" s="507"/>
      <c r="BB82" s="526">
        <f>IF(Ergebniseingabe!BC81="","",Ergebniseingabe!BC81)</f>
        <v>4</v>
      </c>
      <c r="BC82" s="526"/>
      <c r="BD82" s="425" t="str">
        <f>IF(Ergebniseingabe!BE81="","",Ergebniseingabe!BE81)</f>
        <v>n. 9m</v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9" t="s">
        <v>9</v>
      </c>
      <c r="C85" s="525"/>
      <c r="D85" s="525" t="s">
        <v>63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7">
        <v>16</v>
      </c>
      <c r="C86" s="518"/>
      <c r="D86" s="521">
        <f>Ergebniseingabe!E85</f>
        <v>0.8729166666666662</v>
      </c>
      <c r="E86" s="521"/>
      <c r="F86" s="521"/>
      <c r="G86" s="521"/>
      <c r="H86" s="533" t="str">
        <f>Ergebniseingabe!I85</f>
        <v>SV Sonsbeck</v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 t="str">
        <f>Ergebniseingabe!AE85</f>
        <v>GW Wesel-Flüren</v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  <v>2</v>
      </c>
      <c r="AZ86" s="506"/>
      <c r="BA86" s="507"/>
      <c r="BB86" s="526">
        <f>IF(Ergebniseingabe!BC85="","",Ergebniseingabe!BC85)</f>
        <v>3</v>
      </c>
      <c r="BC86" s="526"/>
      <c r="BD86" s="425" t="str">
        <f>IF(Ergebniseingabe!BE85="","",Ergebniseingabe!BE85)</f>
        <v>n. 9m</v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63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0.8833333333333329</v>
      </c>
      <c r="E90" s="521"/>
      <c r="F90" s="521"/>
      <c r="G90" s="521"/>
      <c r="H90" s="533" t="str">
        <f>Ergebniseingabe!I89</f>
        <v>Fortuna Keppeln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DJK Lösort-Meiderich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  <v>1</v>
      </c>
      <c r="AZ90" s="506"/>
      <c r="BA90" s="507"/>
      <c r="BB90" s="526">
        <f>IF(Ergebniseingabe!BC89="","",Ergebniseingabe!BC89)</f>
        <v>0</v>
      </c>
      <c r="BC90" s="52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8" t="s">
        <v>9</v>
      </c>
      <c r="C93" s="530"/>
      <c r="D93" s="530" t="s">
        <v>63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7">
        <v>18</v>
      </c>
      <c r="C94" s="518"/>
      <c r="D94" s="521">
        <f>Ergebniseingabe!E93</f>
        <v>0.8937499999999995</v>
      </c>
      <c r="E94" s="521"/>
      <c r="F94" s="521"/>
      <c r="G94" s="521"/>
      <c r="H94" s="533" t="str">
        <f>Ergebniseingabe!I93</f>
        <v>SV Walbeck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SV Veert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  <v>1</v>
      </c>
      <c r="AZ94" s="506"/>
      <c r="BA94" s="507"/>
      <c r="BB94" s="526">
        <f>IF(Ergebniseingabe!BC93="","",Ergebniseingabe!BC93)</f>
        <v>2</v>
      </c>
      <c r="BC94" s="526"/>
      <c r="BD94" s="425" t="str">
        <f>IF(Ergebniseingabe!BE93="","",Ergebniseingabe!BE93)</f>
        <v>n. 9m</v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3" t="s">
        <v>46</v>
      </c>
      <c r="J100" s="494"/>
      <c r="K100" s="503" t="str">
        <f>Ergebniseingabe!L98</f>
        <v>SV Veert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1" t="s">
        <v>47</v>
      </c>
      <c r="J101" s="492"/>
      <c r="K101" s="500" t="str">
        <f>Ergebniseingabe!L99</f>
        <v>SV Walbeck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1" t="s">
        <v>48</v>
      </c>
      <c r="J102" s="492"/>
      <c r="K102" s="500" t="str">
        <f>Ergebniseingabe!L100</f>
        <v>Fortuna Keppeln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1" t="s">
        <v>49</v>
      </c>
      <c r="J103" s="492"/>
      <c r="K103" s="500" t="str">
        <f>Ergebniseingabe!L101</f>
        <v>DJK Lösort-Meiderich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1" t="s">
        <v>50</v>
      </c>
      <c r="J104" s="492"/>
      <c r="K104" s="500" t="str">
        <f>Ergebniseingabe!L102</f>
        <v>GW Wesel-Flüren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1" t="s">
        <v>51</v>
      </c>
      <c r="J105" s="492"/>
      <c r="K105" s="500" t="str">
        <f>Ergebniseingabe!L103</f>
        <v>SV Sonsbeck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1" t="s">
        <v>52</v>
      </c>
      <c r="J106" s="492"/>
      <c r="K106" s="500" t="str">
        <f>Ergebniseingabe!L104</f>
        <v>GW Vernum 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5" t="s">
        <v>53</v>
      </c>
      <c r="J107" s="496"/>
      <c r="K107" s="497" t="str">
        <f>Ergebniseingabe!L105</f>
        <v>Weseler SV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68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69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72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73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2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66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SV Veert</v>
      </c>
      <c r="S4" s="163" t="str">
        <f>Q6</f>
        <v>SV Walbeck</v>
      </c>
      <c r="T4" s="163" t="str">
        <f>Q7</f>
        <v>Weseler SV</v>
      </c>
      <c r="U4" s="163" t="str">
        <f>Q8</f>
        <v>SV Sonsbeck</v>
      </c>
      <c r="V4" s="164"/>
      <c r="W4" s="162" t="s">
        <v>55</v>
      </c>
      <c r="X4" s="163" t="str">
        <f>W5</f>
        <v>SV Veert</v>
      </c>
      <c r="Y4" s="163" t="str">
        <f>W6</f>
        <v>SV Walbeck</v>
      </c>
      <c r="Z4" s="163" t="str">
        <f>W7</f>
        <v>Weseler SV</v>
      </c>
      <c r="AA4" s="163" t="str">
        <f>W8</f>
        <v>SV Sonsbeck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2</v>
      </c>
      <c r="D5" s="151">
        <f>E5+ROW()/1000</f>
        <v>2.005</v>
      </c>
      <c r="E5" s="151">
        <f>RANK(K5,$K$5:$K$8)</f>
        <v>2</v>
      </c>
      <c r="F5" s="43" t="str">
        <f>VLOOKUP(B5,Ergebniseingabe!$C$19:$X$22,2,0)</f>
        <v>SV Veert</v>
      </c>
      <c r="G5" s="39">
        <f>SUMPRODUCT((F5=Ergebniseingabe!$L$27:$AF$38)*(Ergebniseingabe!$BC$27:$BC$38))+SUMPRODUCT((F5=Ergebniseingabe!$AH$27:$BB$38)*(Ergebniseingabe!$BF$27:$BF$38))</f>
        <v>2</v>
      </c>
      <c r="H5" s="39">
        <f>SUMPRODUCT((F5=Ergebniseingabe!$L$27:$AF$38)*(Ergebniseingabe!$BF$27:$BF$38))+SUMPRODUCT((F5=Ergebniseingabe!$AH$27:$BB$38)*(Ergebniseingabe!$BC$27:$BC$38))</f>
        <v>1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5</v>
      </c>
      <c r="J5" s="40">
        <f>G5-H5</f>
        <v>1</v>
      </c>
      <c r="K5" s="190">
        <f>AC5+AI5+AO5</f>
        <v>501002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1</v>
      </c>
      <c r="N5" s="39">
        <f>SUMPRODUCT((Ergebniseingabe!$L$27:$BB$38=F5)*(Ergebniseingabe!$BC$27:$BC$38=Ergebniseingabe!$BF$27:$BF$38)*(Ergebniseingabe!$BC$27:$BC$38&lt;&gt;"")*(Ergebniseingabe!$BF$27:$BF$38&lt;&gt;""))</f>
        <v>2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SV Veert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2</v>
      </c>
      <c r="V5" s="164"/>
      <c r="W5" s="172" t="str">
        <f>Q5</f>
        <v>SV Veert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3</v>
      </c>
      <c r="AB5" s="164"/>
      <c r="AC5" s="175">
        <f>I5*100000+J5*1000+G5</f>
        <v>501002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3</v>
      </c>
      <c r="AM5" s="168">
        <f>J5-INDEX(R5:U5,1,AK4)-INDEX(R5:R8,AK4,1)-ABS(AS5)-ABS(AX5)</f>
        <v>1</v>
      </c>
      <c r="AN5" s="168">
        <f>G5-INDEX(R5:U5,1,$AK$4)-AT5-AY5</f>
        <v>2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1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1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1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SV Walbeck</v>
      </c>
      <c r="G6" s="39">
        <f>SUMPRODUCT((F6=Ergebniseingabe!$L$27:$AF$38)*(Ergebniseingabe!$BC$27:$BC$38))+SUMPRODUCT((F6=Ergebniseingabe!$AH$27:$BB$38)*(Ergebniseingabe!$BF$27:$BF$38))</f>
        <v>5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7</v>
      </c>
      <c r="J6" s="40">
        <f>G6-H6</f>
        <v>5</v>
      </c>
      <c r="K6" s="190">
        <f>AC6+AI6+AO6</f>
        <v>705005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2</v>
      </c>
      <c r="N6" s="39">
        <f>SUMPRODUCT((Ergebniseingabe!$L$27:$BB$38=F6)*(Ergebniseingabe!$BC$27:$BC$38=Ergebniseingabe!$BF$27:$BF$38)*(Ergebniseingabe!$BC$27:$BC$38&lt;&gt;"")*(Ergebniseingabe!$BF$27:$BF$38&lt;&gt;""))</f>
        <v>1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SV Walbeck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3</v>
      </c>
      <c r="V6" s="164"/>
      <c r="W6" s="181" t="str">
        <f>Q6</f>
        <v>SV Walbeck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3</v>
      </c>
      <c r="AB6" s="164"/>
      <c r="AC6" s="175">
        <f>I6*100000+J6*1000+G6</f>
        <v>705005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5</v>
      </c>
      <c r="AM6" s="168">
        <f>J6-INDEX(R6:U6,1,AK4)-INDEX(S5:S8,AK4,1)-ABS(AS6)-ABS(AX6)</f>
        <v>5</v>
      </c>
      <c r="AN6" s="168">
        <f>G6-INDEX(R6:U6,1,$AK$4)-AT6-AY6</f>
        <v>5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4</v>
      </c>
      <c r="D7" s="151">
        <f>E7+ROW()/1000</f>
        <v>4.007</v>
      </c>
      <c r="E7" s="151">
        <f>RANK(K7,$K$5:$K$8)</f>
        <v>4</v>
      </c>
      <c r="F7" s="43" t="str">
        <f>VLOOKUP(B7,Ergebniseingabe!$C$19:$X$22,2,0)</f>
        <v>Weseler SV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3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1</v>
      </c>
      <c r="J7" s="40">
        <f>G7-H7</f>
        <v>-3</v>
      </c>
      <c r="K7" s="190">
        <f>AC7+AI7+AO7</f>
        <v>97000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1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2</v>
      </c>
      <c r="Q7" s="172" t="str">
        <f>$F$7</f>
        <v>Weseler SV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Weseler SV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0</v>
      </c>
      <c r="AB7" s="164"/>
      <c r="AC7" s="175">
        <f>I7*100000+J7*1000+G7</f>
        <v>97000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-1</v>
      </c>
      <c r="AM7" s="168">
        <f>J7-INDEX(R7:U7,1,AK4)-INDEX(T5:T8,AK4,1)-ABS(AS7)-ABS(AX7)</f>
        <v>-3</v>
      </c>
      <c r="AN7" s="168">
        <f>G7-INDEX(R7:U7,1,$AK$4)-AT7-AY7</f>
        <v>0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3</v>
      </c>
      <c r="D8" s="151">
        <f>E8+ROW()/1000</f>
        <v>3.008</v>
      </c>
      <c r="E8" s="151">
        <f>RANK(K8,$K$5:$K$8)</f>
        <v>3</v>
      </c>
      <c r="F8" s="43" t="str">
        <f>VLOOKUP(B8,Ergebniseingabe!$C$19:$X$22,2,0)</f>
        <v>SV Sonsbeck</v>
      </c>
      <c r="G8" s="39">
        <f>SUMPRODUCT((F8=Ergebniseingabe!$L$27:$AF$38)*(Ergebniseingabe!$BC$27:$BC$38))+SUMPRODUCT((F8=Ergebniseingabe!$AH$27:$BB$38)*(Ergebniseingabe!$BF$27:$BF$38))</f>
        <v>2</v>
      </c>
      <c r="H8" s="39">
        <f>SUMPRODUCT((F8=Ergebniseingabe!$L$27:$AF$38)*(Ergebniseingabe!$BF$27:$BF$38))+SUMPRODUCT((F8=Ergebniseingabe!$AH$27:$BB$38)*(Ergebniseingabe!$BC$27:$BC$38))</f>
        <v>5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3</v>
      </c>
      <c r="J8" s="40">
        <f>G8-H8</f>
        <v>-3</v>
      </c>
      <c r="K8" s="190">
        <f>AC8+AI8+AO8</f>
        <v>297002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1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2</v>
      </c>
      <c r="Q8" s="184" t="str">
        <f>$F$8</f>
        <v>SV Sonsbeck</v>
      </c>
      <c r="R8" s="174">
        <f>IF(AND(Q8&amp;$R$4=VLOOKUP(Q8&amp;$R$4,$D$23:$I$46,1,0),VLOOKUP(Q8&amp;$R$4,$D$23:$I$46,6,0)&lt;&gt;""),VLOOKUP(Q8&amp;$R$4,$D$23:$I$46,6,0),)</f>
        <v>1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1</v>
      </c>
      <c r="U8" s="173"/>
      <c r="V8" s="164"/>
      <c r="W8" s="185" t="str">
        <f>Q8</f>
        <v>SV Sonsbeck</v>
      </c>
      <c r="X8" s="174">
        <f>IF(AND(ISNUMBER(R8),ISNUMBER(U5)),IF(R8&gt;U5,3,IF(R8=U5,1,0)),0)</f>
        <v>0</v>
      </c>
      <c r="Y8" s="174">
        <f>IF(AND(ISNUMBER(S8),ISNUMBER(U6)),IF(S8&gt;U6,3,IF(S8=U6,1,0)),0)</f>
        <v>0</v>
      </c>
      <c r="Z8" s="174">
        <f>IF(AND(ISNUMBER(T8),ISNUMBER(U7)),IF(T8&gt;U7,3,IF(T8=U7,1,0)),0)</f>
        <v>3</v>
      </c>
      <c r="AA8" s="173"/>
      <c r="AB8" s="164"/>
      <c r="AC8" s="175">
        <f>I8*100000+J8*1000+G8</f>
        <v>297002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-10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-3</v>
      </c>
      <c r="AT8" s="168">
        <f>IF(ISNA($AQ$4),0,INDEX(R8:U8,1,$AQ$4))</f>
        <v>0</v>
      </c>
      <c r="AU8" s="166"/>
      <c r="AV8" s="180"/>
      <c r="AW8" s="168">
        <f>IF(ISNA($AV$4),0,INDEX(X8:AA8,1,$AV$4))</f>
        <v>3</v>
      </c>
      <c r="AX8" s="168">
        <f>IF(ISNA($AV$4),0,(INDEX(R8:U8,1,AV4)-INDEX(U5:U8,AV4,1)))</f>
        <v>1</v>
      </c>
      <c r="AY8" s="168">
        <f>IF(ISNA($AV$4),0,INDEX(R8:U8,1,$AV$4))</f>
        <v>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Fortuna Keppeln</v>
      </c>
      <c r="S13" s="163" t="str">
        <f>Q15</f>
        <v>DJK Lösort-Meiderich</v>
      </c>
      <c r="T13" s="163" t="str">
        <f>Q16</f>
        <v>GW Wesel-Flüren</v>
      </c>
      <c r="U13" s="163" t="str">
        <f>Q17</f>
        <v>GW Vernum </v>
      </c>
      <c r="V13" s="164"/>
      <c r="W13" s="162" t="s">
        <v>55</v>
      </c>
      <c r="X13" s="163" t="str">
        <f>W14</f>
        <v>Fortuna Keppeln</v>
      </c>
      <c r="Y13" s="163" t="str">
        <f>W15</f>
        <v>DJK Lösort-Meiderich</v>
      </c>
      <c r="Z13" s="163" t="str">
        <f>W16</f>
        <v>GW Wesel-Flüren</v>
      </c>
      <c r="AA13" s="163" t="str">
        <f>W17</f>
        <v>GW Vernum 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2</v>
      </c>
      <c r="D14" s="151">
        <f>E14+ROW()/1000</f>
        <v>2.014</v>
      </c>
      <c r="E14" s="151">
        <f>RANK(K14,$K$14:$K$17)</f>
        <v>2</v>
      </c>
      <c r="F14" s="43" t="str">
        <f>VLOOKUP(B14,Ergebniseingabe!$AB$19:$AW$22,2,0)</f>
        <v>Fortuna Keppeln</v>
      </c>
      <c r="G14" s="39">
        <f>SUMPRODUCT((F14=Ergebniseingabe!$L$27:$AF$38)*(Ergebniseingabe!$BC$27:$BC$38))+SUMPRODUCT((F14=Ergebniseingabe!$AH$27:$BB$38)*(Ergebniseingabe!$BF$27:$BF$38))</f>
        <v>3</v>
      </c>
      <c r="H14" s="39">
        <f>SUMPRODUCT((F14=Ergebniseingabe!$L$27:$AF$38)*(Ergebniseingabe!$BF$27:$BF$38))+SUMPRODUCT((F14=Ergebniseingabe!$AH$27:$BB$38)*(Ergebniseingabe!$BC$27:$BC$38))</f>
        <v>3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6</v>
      </c>
      <c r="J14" s="40">
        <f>G14-H14</f>
        <v>0</v>
      </c>
      <c r="K14" s="190">
        <f>AC14+AI14+AO14</f>
        <v>600003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2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1</v>
      </c>
      <c r="Q14" s="172" t="str">
        <f>F14</f>
        <v>Fortuna Keppeln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1</v>
      </c>
      <c r="U14" s="174">
        <f>IF(AND(Q14&amp;$U$13=VLOOKUP(Q14&amp;$U$13,$D$23:$I$46,1,0),VLOOKUP(Q14&amp;$U$13,$D$23:$I$46,6,0)&lt;&gt;""),VLOOKUP(Q14&amp;$U$13,$D$23:$I$46,6,0),)</f>
        <v>2</v>
      </c>
      <c r="V14" s="164"/>
      <c r="W14" s="172" t="str">
        <f>Q14</f>
        <v>Fortuna Keppeln</v>
      </c>
      <c r="X14" s="173"/>
      <c r="Y14" s="174">
        <f>IF(AND(ISNUMBER(S14),ISNUMBER(R15)),IF(S14&gt;R15,3,IF(S14=R15,1,0)),0)</f>
        <v>0</v>
      </c>
      <c r="Z14" s="174">
        <f>IF(AND(ISNUMBER(T14),ISNUMBER(R16)),IF(T14&gt;R16,3,IF(T14=R16,1,0)),0)</f>
        <v>3</v>
      </c>
      <c r="AA14" s="174">
        <f>IF(AND(ISNUMBER(U14),ISNUMBER(R17)),IF(U14&gt;R17,3,IF(U14=R17,1,0)),0)</f>
        <v>3</v>
      </c>
      <c r="AB14" s="164"/>
      <c r="AC14" s="175">
        <f>I14*100000+J14*1000+G14</f>
        <v>600003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3</v>
      </c>
      <c r="AM14" s="168">
        <f>J14-INDEX(R14:U14,1,AK13)-INDEX(R14:R17,AK13,1)-ABS(AS14)-ABS(AX14)</f>
        <v>-4</v>
      </c>
      <c r="AN14" s="168">
        <f>G14-INDEX(R14:U14,1,$AK$13)-AT14-AY14</f>
        <v>2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-3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3</v>
      </c>
      <c r="AX14" s="168">
        <f>IF(ISNA($AV$13),0,(INDEX(R14:U14,1,$AV$13)-INDEX(R14:R17,$AV$13,1)))</f>
        <v>1</v>
      </c>
      <c r="AY14" s="168">
        <f>IF(ISNA($AV$13),0,INDEX(R14:U14,1,$AV$13))</f>
        <v>1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1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DJK Lösort-Meiderich</v>
      </c>
      <c r="G15" s="39">
        <f>SUMPRODUCT((F15=Ergebniseingabe!$L$27:$AF$38)*(Ergebniseingabe!$BC$27:$BC$38))+SUMPRODUCT((F15=Ergebniseingabe!$AH$27:$BB$38)*(Ergebniseingabe!$BF$27:$BF$38))</f>
        <v>8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9</v>
      </c>
      <c r="J15" s="40">
        <f>G15-H15</f>
        <v>8</v>
      </c>
      <c r="K15" s="190">
        <f>AC15+AI15+AO15</f>
        <v>908008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3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DJK Lösort-Meiderich</v>
      </c>
      <c r="R15" s="174">
        <f>IF(AND(Q15&amp;$R$13=VLOOKUP(Q15&amp;$R$13,$D$23:$I$46,1,0),VLOOKUP(Q15&amp;$R$13,$D$23:$I$46,6,0)&lt;&gt;""),VLOOKUP(Q15&amp;$R$13,$D$23:$I$46,6,0),)</f>
        <v>3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2</v>
      </c>
      <c r="V15" s="164"/>
      <c r="W15" s="181" t="str">
        <f>Q15</f>
        <v>DJK Lösort-Meiderich</v>
      </c>
      <c r="X15" s="174">
        <f>IF(AND(ISNUMBER(R15),ISNUMBER(S14)),IF(R15&gt;S14,3,IF(R15=S14,1,0)),0)</f>
        <v>3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3</v>
      </c>
      <c r="AB15" s="164"/>
      <c r="AC15" s="175">
        <f>I15*100000+J15*1000+G15</f>
        <v>908008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5</v>
      </c>
      <c r="AM15" s="168">
        <f>J15-INDEX(R15:U15,1,AK13)-INDEX(S14:S17,AK13,1)-ABS(AS15)-ABS(AX15)</f>
        <v>5</v>
      </c>
      <c r="AN15" s="168">
        <f>G15-INDEX(R15:U15,1,$AK$13)-AT15-AY15</f>
        <v>5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3.016</v>
      </c>
      <c r="E16" s="151">
        <f>RANK(K16,$K$14:$K$17)</f>
        <v>3</v>
      </c>
      <c r="F16" s="43" t="str">
        <f>VLOOKUP(B16,Ergebniseingabe!$AB$19:$AW$22,2,0)</f>
        <v>GW Wesel-Flüren</v>
      </c>
      <c r="G16" s="39">
        <f>SUMPRODUCT((F16=Ergebniseingabe!$L$27:$AF$38)*(Ergebniseingabe!$BC$27:$BC$38))+SUMPRODUCT((F16=Ergebniseingabe!$AH$27:$BB$38)*(Ergebniseingabe!$BF$27:$BF$38))</f>
        <v>1</v>
      </c>
      <c r="H16" s="39">
        <f>SUMPRODUCT((F16=Ergebniseingabe!$L$27:$AF$38)*(Ergebniseingabe!$BF$27:$BF$38))+SUMPRODUCT((F16=Ergebniseingabe!$AH$27:$BB$38)*(Ergebniseingabe!$BC$27:$BC$38))</f>
        <v>4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3</v>
      </c>
      <c r="J16" s="40">
        <f>G16-H16</f>
        <v>-3</v>
      </c>
      <c r="K16" s="190">
        <f>AC16+AI16+AO16</f>
        <v>297001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1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2</v>
      </c>
      <c r="Q16" s="172" t="str">
        <f>F16</f>
        <v>GW Wesel-Flüren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1</v>
      </c>
      <c r="V16" s="164"/>
      <c r="W16" s="181" t="str">
        <f>Q16</f>
        <v>GW Wesel-Flüren</v>
      </c>
      <c r="X16" s="174">
        <f>IF(AND(ISNUMBER(R16),ISNUMBER(T14)),IF(R16&gt;T14,3,IF(R16=T14,1,0)),0)</f>
        <v>0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3</v>
      </c>
      <c r="AB16" s="164"/>
      <c r="AC16" s="175">
        <f>I16*100000+J16*1000+G16</f>
        <v>297001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2</v>
      </c>
      <c r="AM16" s="168">
        <f>J16-INDEX(R16:U16,1,AK13)-INDEX(T14:T17,AK13,1)-ABS(AS16)-ABS(AX16)</f>
        <v>-4</v>
      </c>
      <c r="AN16" s="168">
        <f>G16-INDEX(R16:U16,1,$AK$13)-AT16-AY16</f>
        <v>1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4.017</v>
      </c>
      <c r="E17" s="151">
        <f>RANK(K17,$K$14:$K$17)</f>
        <v>4</v>
      </c>
      <c r="F17" s="43" t="str">
        <f>VLOOKUP(B17,Ergebniseingabe!$AB$19:$AW$22,2,0)</f>
        <v>GW Vernum 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5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-5</v>
      </c>
      <c r="K17" s="190">
        <f>AC17+AI17+AO17</f>
        <v>-5000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3</v>
      </c>
      <c r="Q17" s="172" t="str">
        <f>F17</f>
        <v>GW Vernum 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GW Vernum </v>
      </c>
      <c r="X17" s="174">
        <f>IF(AND(ISNUMBER(R17),ISNUMBER(U14)),IF(R17&gt;U14,3,IF(R17=U14,1,0)),0)</f>
        <v>0</v>
      </c>
      <c r="Y17" s="174">
        <f>IF(AND(ISNUMBER(S17),ISNUMBER(U15)),IF(S17&gt;U15,3,IF(S17=U15,1,0)),0)</f>
        <v>0</v>
      </c>
      <c r="Z17" s="174">
        <f>IF(AND(ISNUMBER(T17),ISNUMBER(U16)),IF(T17&gt;U16,3,IF(T17=U16,1,0)),0)</f>
        <v>0</v>
      </c>
      <c r="AA17" s="173"/>
      <c r="AB17" s="164"/>
      <c r="AC17" s="175">
        <f>I17*100000+J17*1000+G17</f>
        <v>-5000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-10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-2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-1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SV VeertSV Walbeck</v>
      </c>
      <c r="E23" s="36" t="str">
        <f>F5</f>
        <v>SV Veert</v>
      </c>
      <c r="F23" s="36" t="str">
        <f>F6</f>
        <v>SV Walbeck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0:0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0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SV VeertWeseler SV</v>
      </c>
      <c r="E24" s="36" t="str">
        <f>F5</f>
        <v>SV Veert</v>
      </c>
      <c r="F24" s="36" t="str">
        <f>F7</f>
        <v>Weseler SV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0:0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0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SV VeertSV Sonsbeck</v>
      </c>
      <c r="E25" s="36" t="str">
        <f>F5</f>
        <v>SV Veert</v>
      </c>
      <c r="F25" s="36" t="str">
        <f>F8</f>
        <v>SV Sonsbeck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2:1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2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SV WalbeckWeseler SV</v>
      </c>
      <c r="E26" s="36" t="str">
        <f>F6</f>
        <v>SV Walbeck</v>
      </c>
      <c r="F26" s="36" t="str">
        <f>F7</f>
        <v>Weseler SV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2:0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SV WalbeckSV Sonsbeck</v>
      </c>
      <c r="E27" s="36" t="str">
        <f>F6</f>
        <v>SV Walbeck</v>
      </c>
      <c r="F27" s="36" t="str">
        <f>F8</f>
        <v>SV Sonsbeck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3:0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3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Weseler SVSV Sonsbeck</v>
      </c>
      <c r="E28" s="36" t="str">
        <f>F7</f>
        <v>Weseler SV</v>
      </c>
      <c r="F28" s="36" t="str">
        <f>F8</f>
        <v>SV Sonsbeck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0:1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0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SV WalbeckSV Veert</v>
      </c>
      <c r="E29" s="36" t="str">
        <f aca="true" t="shared" si="1" ref="E29:E34">F23</f>
        <v>SV Walbeck</v>
      </c>
      <c r="F29" s="36" t="str">
        <f aca="true" t="shared" si="2" ref="F29:F34">E23</f>
        <v>SV Veert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0:0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0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Weseler SVSV Veert</v>
      </c>
      <c r="E30" s="36" t="str">
        <f t="shared" si="1"/>
        <v>Weseler SV</v>
      </c>
      <c r="F30" s="36" t="str">
        <f t="shared" si="2"/>
        <v>SV Veert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0:0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0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SV SonsbeckSV Veert</v>
      </c>
      <c r="E31" s="36" t="str">
        <f t="shared" si="1"/>
        <v>SV Sonsbeck</v>
      </c>
      <c r="F31" s="36" t="str">
        <f t="shared" si="2"/>
        <v>SV Veert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1:2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1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Weseler SVSV Walbeck</v>
      </c>
      <c r="E32" s="36" t="str">
        <f t="shared" si="1"/>
        <v>Weseler SV</v>
      </c>
      <c r="F32" s="36" t="str">
        <f t="shared" si="2"/>
        <v>SV Walbeck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0:2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SV SonsbeckSV Walbeck</v>
      </c>
      <c r="E33" s="36" t="str">
        <f t="shared" si="1"/>
        <v>SV Sonsbeck</v>
      </c>
      <c r="F33" s="36" t="str">
        <f t="shared" si="2"/>
        <v>SV Walbeck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0:3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0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SV SonsbeckWeseler SV</v>
      </c>
      <c r="E34" s="36" t="str">
        <f t="shared" si="1"/>
        <v>SV Sonsbeck</v>
      </c>
      <c r="F34" s="36" t="str">
        <f t="shared" si="2"/>
        <v>Weseler SV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1:0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1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Fortuna KeppelnDJK Lösort-Meiderich</v>
      </c>
      <c r="E35" s="36" t="str">
        <f>F14</f>
        <v>Fortuna Keppeln</v>
      </c>
      <c r="F35" s="36" t="str">
        <f>F15</f>
        <v>DJK Lösort-Meiderich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0:3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0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Fortuna KeppelnGW Wesel-Flüren</v>
      </c>
      <c r="E36" s="36" t="str">
        <f>F14</f>
        <v>Fortuna Keppeln</v>
      </c>
      <c r="F36" s="36" t="str">
        <f>F16</f>
        <v>GW Wesel-Flüren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1:0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1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Fortuna KeppelnGW Vernum </v>
      </c>
      <c r="E37" s="36" t="str">
        <f>F14</f>
        <v>Fortuna Keppeln</v>
      </c>
      <c r="F37" s="36" t="str">
        <f>F17</f>
        <v>GW Vernum 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2:0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2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DJK Lösort-MeiderichGW Wesel-Flüren</v>
      </c>
      <c r="E38" s="36" t="str">
        <f>F15</f>
        <v>DJK Lösort-Meiderich</v>
      </c>
      <c r="F38" s="36" t="str">
        <f>F16</f>
        <v>GW Wesel-Flüren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3:0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DJK Lösort-MeiderichGW Vernum </v>
      </c>
      <c r="E39" s="36" t="str">
        <f>F15</f>
        <v>DJK Lösort-Meiderich</v>
      </c>
      <c r="F39" s="36" t="str">
        <f>F17</f>
        <v>GW Vernum 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2:0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2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GW Wesel-FlürenGW Vernum </v>
      </c>
      <c r="E40" s="36" t="str">
        <f>F16</f>
        <v>GW Wesel-Flüren</v>
      </c>
      <c r="F40" s="36" t="str">
        <f>F17</f>
        <v>GW Vernum 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1:0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1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DJK Lösort-MeiderichFortuna Keppeln</v>
      </c>
      <c r="E41" s="36" t="str">
        <f aca="true" t="shared" si="3" ref="E41:E46">F35</f>
        <v>DJK Lösort-Meiderich</v>
      </c>
      <c r="F41" s="36" t="str">
        <f aca="true" t="shared" si="4" ref="F41:F46">E35</f>
        <v>Fortuna Keppeln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3:0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3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GW Wesel-FlürenFortuna Keppeln</v>
      </c>
      <c r="E42" s="36" t="str">
        <f t="shared" si="3"/>
        <v>GW Wesel-Flüren</v>
      </c>
      <c r="F42" s="36" t="str">
        <f t="shared" si="4"/>
        <v>Fortuna Keppeln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0:1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0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GW Vernum Fortuna Keppeln</v>
      </c>
      <c r="E43" s="36" t="str">
        <f t="shared" si="3"/>
        <v>GW Vernum </v>
      </c>
      <c r="F43" s="36" t="str">
        <f t="shared" si="4"/>
        <v>Fortuna Keppeln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0:2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0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GW Wesel-FlürenDJK Lösort-Meiderich</v>
      </c>
      <c r="E44" s="36" t="str">
        <f t="shared" si="3"/>
        <v>GW Wesel-Flüren</v>
      </c>
      <c r="F44" s="36" t="str">
        <f t="shared" si="4"/>
        <v>DJK Lösort-Meiderich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0:3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GW Vernum DJK Lösort-Meiderich</v>
      </c>
      <c r="E45" s="36" t="str">
        <f t="shared" si="3"/>
        <v>GW Vernum </v>
      </c>
      <c r="F45" s="36" t="str">
        <f t="shared" si="4"/>
        <v>DJK Lösort-Meiderich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0:2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0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GW Vernum GW Wesel-Flüren</v>
      </c>
      <c r="E46" s="36" t="str">
        <f t="shared" si="3"/>
        <v>GW Vernum </v>
      </c>
      <c r="F46" s="36" t="str">
        <f t="shared" si="4"/>
        <v>GW Wesel-Flüren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0:1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0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Klaus</cp:lastModifiedBy>
  <cp:lastPrinted>2017-05-26T19:04:14Z</cp:lastPrinted>
  <dcterms:created xsi:type="dcterms:W3CDTF">2010-02-21T20:13:34Z</dcterms:created>
  <dcterms:modified xsi:type="dcterms:W3CDTF">2017-05-26T19:16:37Z</dcterms:modified>
  <cp:category/>
  <cp:version/>
  <cp:contentType/>
  <cp:contentStatus/>
</cp:coreProperties>
</file>